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dobyh\1\1\2025\ФІНПЛАНИ\2025\І квартал 2025\"/>
    </mc:Choice>
  </mc:AlternateContent>
  <bookViews>
    <workbookView xWindow="0" yWindow="0" windowWidth="28800" windowHeight="12300" tabRatio="838"/>
  </bookViews>
  <sheets>
    <sheet name="Звіт про виконання показ фінпла" sheetId="14" r:id="rId1"/>
    <sheet name="Розшифровка 1 до Формування" sheetId="22" r:id="rId2"/>
    <sheet name="Розшифровка 2 до формування" sheetId="26" r:id="rId3"/>
    <sheet name="Розшифровка кап" sheetId="24" r:id="rId4"/>
    <sheet name="Розшифровка за джерелами" sheetId="9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'Звіт про виконання показ фінпла'!$4:$6</definedName>
    <definedName name="_xlnm.Print_Titles" localSheetId="1">'Розшифровка 1 до Формування'!$4:$5</definedName>
    <definedName name="_xlnm.Print_Titles" localSheetId="2">'Розшифровка 2 до формування'!$4:$5</definedName>
    <definedName name="_xlnm.Print_Titles" localSheetId="4">'Розшифровка за джерелами'!$4:$5</definedName>
    <definedName name="_xlnm.Print_Titles" localSheetId="3">'Розшифровка кап'!$3:$4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'Звіт про виконання показ фінпла'!$A$1:$H$100</definedName>
    <definedName name="_xlnm.Print_Area" localSheetId="1">'Розшифровка 1 до Формування'!$A$1:$H$90</definedName>
    <definedName name="_xlnm.Print_Area" localSheetId="2">'Розшифровка 2 до формування'!$A$1:$H$217</definedName>
    <definedName name="_xlnm.Print_Area" localSheetId="4">'Розшифровка за джерелами'!$A$1:$P$81</definedName>
    <definedName name="_xlnm.Print_Area" localSheetId="3">'Розшифровка кап'!$A$1:$G$106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79021"/>
</workbook>
</file>

<file path=xl/calcChain.xml><?xml version="1.0" encoding="utf-8"?>
<calcChain xmlns="http://schemas.openxmlformats.org/spreadsheetml/2006/main">
  <c r="N67" i="9" l="1"/>
  <c r="N66" i="9"/>
  <c r="O66" i="9" s="1"/>
  <c r="N65" i="9"/>
  <c r="O65" i="9" s="1"/>
  <c r="N64" i="9"/>
  <c r="O64" i="9" s="1"/>
  <c r="N63" i="9"/>
  <c r="N62" i="9"/>
  <c r="O62" i="9" s="1"/>
  <c r="N61" i="9"/>
  <c r="N60" i="9"/>
  <c r="O60" i="9" s="1"/>
  <c r="N59" i="9"/>
  <c r="P75" i="9"/>
  <c r="O75" i="9"/>
  <c r="P74" i="9"/>
  <c r="O74" i="9"/>
  <c r="P73" i="9"/>
  <c r="O73" i="9"/>
  <c r="P72" i="9"/>
  <c r="O72" i="9"/>
  <c r="P71" i="9"/>
  <c r="O71" i="9"/>
  <c r="P70" i="9"/>
  <c r="O70" i="9"/>
  <c r="P69" i="9"/>
  <c r="O69" i="9"/>
  <c r="P68" i="9"/>
  <c r="O68" i="9"/>
  <c r="P67" i="9"/>
  <c r="O67" i="9"/>
  <c r="P66" i="9"/>
  <c r="P65" i="9"/>
  <c r="P64" i="9"/>
  <c r="P63" i="9"/>
  <c r="O63" i="9"/>
  <c r="P61" i="9"/>
  <c r="O61" i="9"/>
  <c r="P60" i="9"/>
  <c r="P59" i="9"/>
  <c r="O59" i="9"/>
  <c r="P58" i="9"/>
  <c r="O58" i="9"/>
  <c r="P57" i="9"/>
  <c r="O57" i="9"/>
  <c r="P56" i="9"/>
  <c r="O56" i="9"/>
  <c r="P55" i="9"/>
  <c r="O55" i="9"/>
  <c r="P54" i="9"/>
  <c r="O54" i="9"/>
  <c r="P53" i="9"/>
  <c r="O53" i="9"/>
  <c r="P52" i="9"/>
  <c r="O52" i="9"/>
  <c r="P51" i="9"/>
  <c r="O51" i="9"/>
  <c r="P50" i="9"/>
  <c r="O50" i="9"/>
  <c r="P49" i="9"/>
  <c r="O49" i="9"/>
  <c r="P48" i="9"/>
  <c r="O48" i="9"/>
  <c r="P47" i="9"/>
  <c r="O47" i="9"/>
  <c r="P46" i="9"/>
  <c r="O46" i="9"/>
  <c r="P45" i="9"/>
  <c r="O45" i="9"/>
  <c r="P44" i="9"/>
  <c r="O44" i="9"/>
  <c r="P43" i="9"/>
  <c r="O43" i="9"/>
  <c r="P42" i="9"/>
  <c r="O42" i="9"/>
  <c r="P41" i="9"/>
  <c r="O41" i="9"/>
  <c r="P40" i="9"/>
  <c r="O40" i="9"/>
  <c r="P39" i="9"/>
  <c r="O39" i="9"/>
  <c r="P38" i="9"/>
  <c r="O38" i="9"/>
  <c r="P37" i="9"/>
  <c r="O37" i="9"/>
  <c r="P36" i="9"/>
  <c r="O36" i="9"/>
  <c r="P35" i="9"/>
  <c r="O35" i="9"/>
  <c r="P34" i="9"/>
  <c r="O34" i="9"/>
  <c r="P33" i="9"/>
  <c r="O33" i="9"/>
  <c r="P32" i="9"/>
  <c r="O32" i="9"/>
  <c r="P31" i="9"/>
  <c r="O31" i="9"/>
  <c r="P30" i="9"/>
  <c r="O30" i="9"/>
  <c r="P29" i="9"/>
  <c r="O29" i="9"/>
  <c r="P28" i="9"/>
  <c r="O28" i="9"/>
  <c r="P27" i="9"/>
  <c r="O27" i="9"/>
  <c r="P26" i="9"/>
  <c r="O26" i="9"/>
  <c r="P25" i="9"/>
  <c r="O25" i="9"/>
  <c r="P24" i="9"/>
  <c r="O24" i="9"/>
  <c r="P23" i="9"/>
  <c r="O23" i="9"/>
  <c r="P22" i="9"/>
  <c r="O22" i="9"/>
  <c r="P21" i="9"/>
  <c r="O21" i="9"/>
  <c r="P20" i="9"/>
  <c r="O20" i="9"/>
  <c r="P19" i="9"/>
  <c r="O19" i="9"/>
  <c r="P18" i="9"/>
  <c r="O18" i="9"/>
  <c r="P17" i="9"/>
  <c r="O17" i="9"/>
  <c r="P16" i="9"/>
  <c r="O16" i="9"/>
  <c r="P15" i="9"/>
  <c r="O15" i="9"/>
  <c r="P14" i="9"/>
  <c r="O14" i="9"/>
  <c r="P13" i="9"/>
  <c r="O13" i="9"/>
  <c r="P12" i="9"/>
  <c r="O12" i="9"/>
  <c r="P11" i="9"/>
  <c r="O11" i="9"/>
  <c r="P10" i="9"/>
  <c r="O10" i="9"/>
  <c r="P9" i="9"/>
  <c r="O9" i="9"/>
  <c r="P8" i="9"/>
  <c r="O8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D94" i="14"/>
  <c r="F85" i="14"/>
  <c r="E85" i="14"/>
  <c r="D85" i="14"/>
  <c r="C85" i="14"/>
  <c r="H77" i="14"/>
  <c r="G77" i="14"/>
  <c r="H76" i="14"/>
  <c r="G76" i="14"/>
  <c r="D76" i="14"/>
  <c r="F76" i="14"/>
  <c r="E76" i="14"/>
  <c r="C76" i="14"/>
  <c r="D73" i="14"/>
  <c r="F73" i="14"/>
  <c r="E73" i="14"/>
  <c r="C73" i="14"/>
  <c r="D72" i="14"/>
  <c r="F72" i="14"/>
  <c r="E72" i="14"/>
  <c r="C72" i="14"/>
  <c r="G102" i="24"/>
  <c r="F102" i="24"/>
  <c r="G101" i="24"/>
  <c r="F101" i="24"/>
  <c r="G100" i="24"/>
  <c r="F100" i="24"/>
  <c r="G99" i="24"/>
  <c r="F99" i="24"/>
  <c r="G98" i="24"/>
  <c r="F98" i="24"/>
  <c r="G97" i="24"/>
  <c r="F97" i="24"/>
  <c r="G96" i="24"/>
  <c r="F96" i="24"/>
  <c r="G95" i="24"/>
  <c r="F95" i="24"/>
  <c r="G94" i="24"/>
  <c r="F94" i="24"/>
  <c r="G93" i="24"/>
  <c r="F93" i="24"/>
  <c r="G92" i="24"/>
  <c r="F92" i="24"/>
  <c r="G91" i="24"/>
  <c r="F91" i="24"/>
  <c r="G90" i="24"/>
  <c r="F90" i="24"/>
  <c r="G89" i="24"/>
  <c r="F89" i="24"/>
  <c r="G88" i="24"/>
  <c r="F88" i="24"/>
  <c r="G87" i="24"/>
  <c r="F87" i="24"/>
  <c r="G86" i="24"/>
  <c r="F86" i="24"/>
  <c r="G85" i="24"/>
  <c r="F85" i="24"/>
  <c r="G84" i="24"/>
  <c r="F84" i="24"/>
  <c r="G83" i="24"/>
  <c r="F83" i="24"/>
  <c r="G82" i="24"/>
  <c r="F82" i="24"/>
  <c r="G81" i="24"/>
  <c r="F81" i="24"/>
  <c r="G80" i="24"/>
  <c r="F80" i="24"/>
  <c r="G79" i="24"/>
  <c r="F79" i="24"/>
  <c r="G78" i="24"/>
  <c r="F78" i="24"/>
  <c r="G77" i="24"/>
  <c r="F77" i="24"/>
  <c r="G76" i="24"/>
  <c r="F76" i="24"/>
  <c r="G75" i="24"/>
  <c r="F75" i="24"/>
  <c r="G74" i="24"/>
  <c r="F74" i="24"/>
  <c r="G73" i="24"/>
  <c r="F73" i="24"/>
  <c r="G72" i="24"/>
  <c r="F72" i="24"/>
  <c r="G71" i="24"/>
  <c r="F71" i="24"/>
  <c r="G70" i="24"/>
  <c r="F70" i="24"/>
  <c r="G69" i="24"/>
  <c r="F69" i="24"/>
  <c r="G68" i="24"/>
  <c r="F68" i="24"/>
  <c r="G67" i="24"/>
  <c r="F67" i="24"/>
  <c r="G66" i="24"/>
  <c r="F66" i="24"/>
  <c r="G65" i="24"/>
  <c r="F65" i="24"/>
  <c r="G64" i="24"/>
  <c r="F64" i="24"/>
  <c r="G63" i="24"/>
  <c r="F63" i="24"/>
  <c r="G62" i="24"/>
  <c r="F62" i="24"/>
  <c r="G61" i="24"/>
  <c r="F61" i="24"/>
  <c r="G60" i="24"/>
  <c r="F60" i="24"/>
  <c r="G59" i="24"/>
  <c r="F59" i="24"/>
  <c r="G58" i="24"/>
  <c r="F58" i="24"/>
  <c r="G57" i="24"/>
  <c r="F57" i="24"/>
  <c r="G56" i="24"/>
  <c r="F56" i="24"/>
  <c r="G55" i="24"/>
  <c r="F55" i="24"/>
  <c r="G54" i="24"/>
  <c r="F54" i="24"/>
  <c r="G53" i="24"/>
  <c r="F53" i="24"/>
  <c r="G52" i="24"/>
  <c r="F52" i="24"/>
  <c r="G51" i="24"/>
  <c r="F51" i="24"/>
  <c r="G50" i="24"/>
  <c r="F50" i="24"/>
  <c r="G49" i="24"/>
  <c r="F49" i="24"/>
  <c r="G48" i="24"/>
  <c r="F48" i="24"/>
  <c r="G47" i="24"/>
  <c r="F47" i="24"/>
  <c r="G46" i="24"/>
  <c r="F46" i="24"/>
  <c r="G45" i="24"/>
  <c r="F45" i="24"/>
  <c r="G44" i="24"/>
  <c r="F44" i="24"/>
  <c r="G43" i="24"/>
  <c r="F43" i="24"/>
  <c r="G42" i="24"/>
  <c r="F42" i="24"/>
  <c r="G41" i="24"/>
  <c r="F41" i="24"/>
  <c r="G40" i="24"/>
  <c r="F40" i="24"/>
  <c r="G39" i="24"/>
  <c r="F39" i="24"/>
  <c r="G38" i="24"/>
  <c r="F38" i="24"/>
  <c r="G37" i="24"/>
  <c r="F37" i="24"/>
  <c r="G36" i="24"/>
  <c r="F36" i="24"/>
  <c r="G35" i="24"/>
  <c r="F35" i="24"/>
  <c r="G34" i="24"/>
  <c r="F34" i="24"/>
  <c r="G33" i="24"/>
  <c r="F33" i="24"/>
  <c r="G32" i="24"/>
  <c r="F32" i="24"/>
  <c r="G31" i="24"/>
  <c r="F31" i="24"/>
  <c r="G30" i="24"/>
  <c r="F30" i="24"/>
  <c r="G29" i="24"/>
  <c r="F29" i="24"/>
  <c r="G28" i="24"/>
  <c r="F28" i="24"/>
  <c r="G27" i="24"/>
  <c r="F27" i="24"/>
  <c r="G26" i="24"/>
  <c r="F26" i="24"/>
  <c r="G25" i="24"/>
  <c r="F25" i="24"/>
  <c r="G24" i="24"/>
  <c r="F24" i="24"/>
  <c r="G23" i="24"/>
  <c r="F23" i="24"/>
  <c r="G22" i="24"/>
  <c r="F22" i="24"/>
  <c r="G21" i="24"/>
  <c r="F21" i="24"/>
  <c r="G20" i="24"/>
  <c r="F20" i="24"/>
  <c r="G19" i="24"/>
  <c r="F19" i="24"/>
  <c r="G18" i="24"/>
  <c r="F18" i="24"/>
  <c r="G17" i="24"/>
  <c r="F17" i="24"/>
  <c r="G16" i="24"/>
  <c r="F16" i="24"/>
  <c r="G15" i="24"/>
  <c r="F15" i="24"/>
  <c r="G14" i="24"/>
  <c r="F14" i="24"/>
  <c r="G13" i="24"/>
  <c r="F13" i="24"/>
  <c r="G12" i="24"/>
  <c r="F12" i="24"/>
  <c r="G11" i="24"/>
  <c r="F11" i="24"/>
  <c r="G10" i="24"/>
  <c r="F10" i="24"/>
  <c r="G9" i="24"/>
  <c r="F9" i="24"/>
  <c r="G8" i="24"/>
  <c r="F8" i="24"/>
  <c r="P62" i="9" l="1"/>
  <c r="E66" i="14" l="1"/>
  <c r="E59" i="14"/>
  <c r="E55" i="14"/>
  <c r="D55" i="14" l="1"/>
  <c r="F49" i="14"/>
  <c r="D49" i="14"/>
  <c r="F48" i="14"/>
  <c r="E48" i="14"/>
  <c r="D48" i="14"/>
  <c r="F47" i="14"/>
  <c r="E47" i="14"/>
  <c r="D47" i="14"/>
  <c r="F46" i="14"/>
  <c r="E46" i="14"/>
  <c r="D46" i="14"/>
  <c r="F45" i="14"/>
  <c r="E45" i="14"/>
  <c r="D45" i="14"/>
  <c r="C50" i="14"/>
  <c r="C49" i="14"/>
  <c r="C48" i="14"/>
  <c r="C47" i="14"/>
  <c r="C46" i="14"/>
  <c r="C45" i="14"/>
  <c r="F29" i="14"/>
  <c r="D30" i="14"/>
  <c r="D28" i="14"/>
  <c r="D27" i="14"/>
  <c r="F30" i="14"/>
  <c r="F28" i="14"/>
  <c r="F27" i="14"/>
  <c r="E30" i="14"/>
  <c r="E28" i="14"/>
  <c r="E27" i="14"/>
  <c r="C30" i="14"/>
  <c r="C28" i="14"/>
  <c r="C27" i="14"/>
  <c r="D21" i="14"/>
  <c r="D20" i="14"/>
  <c r="D19" i="14"/>
  <c r="D18" i="14"/>
  <c r="F21" i="14"/>
  <c r="F20" i="14"/>
  <c r="F19" i="14"/>
  <c r="F18" i="14"/>
  <c r="E20" i="14"/>
  <c r="E19" i="14"/>
  <c r="E18" i="14"/>
  <c r="C21" i="14"/>
  <c r="C20" i="14"/>
  <c r="C19" i="14"/>
  <c r="C18" i="14"/>
  <c r="D14" i="14"/>
  <c r="D13" i="14"/>
  <c r="D12" i="14"/>
  <c r="D11" i="14"/>
  <c r="D10" i="14"/>
  <c r="F14" i="14"/>
  <c r="F13" i="14"/>
  <c r="F12" i="14"/>
  <c r="F11" i="14"/>
  <c r="F10" i="14"/>
  <c r="E13" i="14"/>
  <c r="E12" i="14"/>
  <c r="E11" i="14"/>
  <c r="E10" i="14"/>
  <c r="C10" i="14"/>
  <c r="C14" i="14"/>
  <c r="C13" i="14"/>
  <c r="C12" i="14"/>
  <c r="C11" i="14"/>
  <c r="D34" i="14" l="1"/>
  <c r="F34" i="14"/>
  <c r="E34" i="14"/>
  <c r="C34" i="14"/>
  <c r="D32" i="14"/>
  <c r="F32" i="14"/>
  <c r="E32" i="14"/>
  <c r="C32" i="14"/>
  <c r="D24" i="14"/>
  <c r="F24" i="14"/>
  <c r="C24" i="14"/>
  <c r="D8" i="14"/>
  <c r="F8" i="14"/>
  <c r="E8" i="14"/>
  <c r="C8" i="14"/>
  <c r="F82" i="22"/>
  <c r="E82" i="22"/>
  <c r="D82" i="22"/>
  <c r="L29" i="26"/>
  <c r="F86" i="22"/>
  <c r="E86" i="22"/>
  <c r="F85" i="22"/>
  <c r="E85" i="22"/>
  <c r="F84" i="22"/>
  <c r="E84" i="22"/>
  <c r="F83" i="22"/>
  <c r="E83" i="22"/>
  <c r="F81" i="22"/>
  <c r="E81" i="22"/>
  <c r="F80" i="22"/>
  <c r="E80" i="22"/>
  <c r="F79" i="22"/>
  <c r="E79" i="22"/>
  <c r="D86" i="22"/>
  <c r="D85" i="22"/>
  <c r="D84" i="22"/>
  <c r="D83" i="22"/>
  <c r="D81" i="22"/>
  <c r="D80" i="22"/>
  <c r="D79" i="22"/>
  <c r="F76" i="22"/>
  <c r="E76" i="22"/>
  <c r="F75" i="22"/>
  <c r="E75" i="22"/>
  <c r="F74" i="22"/>
  <c r="E74" i="22"/>
  <c r="F73" i="22"/>
  <c r="E73" i="22"/>
  <c r="F72" i="22"/>
  <c r="E72" i="22"/>
  <c r="F71" i="22"/>
  <c r="E71" i="22"/>
  <c r="F70" i="22"/>
  <c r="E70" i="22"/>
  <c r="F69" i="22"/>
  <c r="E69" i="22"/>
  <c r="F68" i="22"/>
  <c r="E68" i="22"/>
  <c r="F67" i="22"/>
  <c r="E67" i="22"/>
  <c r="F66" i="22"/>
  <c r="E66" i="22"/>
  <c r="F65" i="22"/>
  <c r="E65" i="22"/>
  <c r="F64" i="22"/>
  <c r="E64" i="22"/>
  <c r="F63" i="22"/>
  <c r="E63" i="22"/>
  <c r="F62" i="22"/>
  <c r="E62" i="22"/>
  <c r="F61" i="22"/>
  <c r="E61" i="22"/>
  <c r="F60" i="22"/>
  <c r="E60" i="22"/>
  <c r="D76" i="22"/>
  <c r="D75" i="22"/>
  <c r="D74" i="22"/>
  <c r="D73" i="22"/>
  <c r="D70" i="22"/>
  <c r="D72" i="22"/>
  <c r="D71" i="22"/>
  <c r="D69" i="22"/>
  <c r="D68" i="22"/>
  <c r="D67" i="22"/>
  <c r="D66" i="22"/>
  <c r="D65" i="22"/>
  <c r="D64" i="22"/>
  <c r="D63" i="22"/>
  <c r="D62" i="22"/>
  <c r="D61" i="22"/>
  <c r="D60" i="22"/>
  <c r="F48" i="22"/>
  <c r="F30" i="22" s="1"/>
  <c r="E48" i="22"/>
  <c r="D48" i="22"/>
  <c r="D30" i="22" s="1"/>
  <c r="F19" i="26"/>
  <c r="F46" i="22"/>
  <c r="E46" i="22"/>
  <c r="D46" i="22"/>
  <c r="F57" i="22"/>
  <c r="F56" i="22"/>
  <c r="F55" i="22"/>
  <c r="F54" i="22"/>
  <c r="F53" i="22"/>
  <c r="F52" i="22"/>
  <c r="F51" i="22"/>
  <c r="F50" i="22"/>
  <c r="F49" i="22"/>
  <c r="F47" i="22"/>
  <c r="F45" i="22"/>
  <c r="F44" i="22"/>
  <c r="F43" i="22"/>
  <c r="F42" i="22"/>
  <c r="F41" i="22"/>
  <c r="F40" i="22"/>
  <c r="F39" i="22"/>
  <c r="F38" i="22"/>
  <c r="F37" i="22"/>
  <c r="F36" i="22"/>
  <c r="F35" i="22"/>
  <c r="F34" i="22"/>
  <c r="F33" i="22"/>
  <c r="F32" i="22"/>
  <c r="F31" i="22"/>
  <c r="E57" i="22"/>
  <c r="E56" i="22"/>
  <c r="E55" i="22"/>
  <c r="E54" i="22"/>
  <c r="E53" i="22"/>
  <c r="E52" i="22"/>
  <c r="H52" i="22" s="1"/>
  <c r="E51" i="22"/>
  <c r="E50" i="22"/>
  <c r="E49" i="22"/>
  <c r="E47" i="22"/>
  <c r="E45" i="22"/>
  <c r="E44" i="22"/>
  <c r="E43" i="22"/>
  <c r="E42" i="22"/>
  <c r="E41" i="22"/>
  <c r="E40" i="22"/>
  <c r="E39" i="22"/>
  <c r="E38" i="22"/>
  <c r="E37" i="22"/>
  <c r="E36" i="22"/>
  <c r="E35" i="22"/>
  <c r="E34" i="22"/>
  <c r="E33" i="22"/>
  <c r="E32" i="22"/>
  <c r="E31" i="22"/>
  <c r="D57" i="22"/>
  <c r="D55" i="22"/>
  <c r="D54" i="22"/>
  <c r="D53" i="22"/>
  <c r="D56" i="22"/>
  <c r="D52" i="22"/>
  <c r="D51" i="22"/>
  <c r="D50" i="22"/>
  <c r="D49" i="22"/>
  <c r="D47" i="22"/>
  <c r="D45" i="22"/>
  <c r="D44" i="22"/>
  <c r="D43" i="22"/>
  <c r="D42" i="22"/>
  <c r="D41" i="22"/>
  <c r="D40" i="22"/>
  <c r="D39" i="22"/>
  <c r="D38" i="22"/>
  <c r="D37" i="22"/>
  <c r="D36" i="22"/>
  <c r="D35" i="22"/>
  <c r="D34" i="22"/>
  <c r="D33" i="22"/>
  <c r="D32" i="22"/>
  <c r="D31" i="22"/>
  <c r="F25" i="22"/>
  <c r="E25" i="22"/>
  <c r="D25" i="22"/>
  <c r="H182" i="26"/>
  <c r="G182" i="26"/>
  <c r="F181" i="26"/>
  <c r="F165" i="26"/>
  <c r="F29" i="22"/>
  <c r="E29" i="22"/>
  <c r="F28" i="22"/>
  <c r="E28" i="22"/>
  <c r="F27" i="22"/>
  <c r="E27" i="22"/>
  <c r="F26" i="22"/>
  <c r="E26" i="22"/>
  <c r="F24" i="22"/>
  <c r="E24" i="22"/>
  <c r="D29" i="22"/>
  <c r="D28" i="22"/>
  <c r="D27" i="22" l="1"/>
  <c r="D26" i="22"/>
  <c r="D24" i="22"/>
  <c r="H57" i="22"/>
  <c r="G57" i="22"/>
  <c r="D10" i="22"/>
  <c r="M27" i="26"/>
  <c r="L27" i="26"/>
  <c r="M26" i="26"/>
  <c r="L26" i="26"/>
  <c r="K27" i="26"/>
  <c r="K26" i="26"/>
  <c r="M20" i="26"/>
  <c r="L20" i="26"/>
  <c r="M19" i="26"/>
  <c r="L19" i="26"/>
  <c r="K20" i="26"/>
  <c r="K19" i="26"/>
  <c r="D23" i="22" l="1"/>
  <c r="L13" i="26"/>
  <c r="L33" i="26" s="1"/>
  <c r="L12" i="26"/>
  <c r="L32" i="26" s="1"/>
  <c r="K13" i="26"/>
  <c r="K33" i="26" s="1"/>
  <c r="K12" i="26"/>
  <c r="K32" i="26" s="1"/>
  <c r="H207" i="26"/>
  <c r="G207" i="26"/>
  <c r="H204" i="26"/>
  <c r="G204" i="26"/>
  <c r="H203" i="26"/>
  <c r="G203" i="26"/>
  <c r="H202" i="26"/>
  <c r="G202" i="26"/>
  <c r="H201" i="26"/>
  <c r="G201" i="26"/>
  <c r="H200" i="26"/>
  <c r="G200" i="26"/>
  <c r="H199" i="26"/>
  <c r="G199" i="26"/>
  <c r="H196" i="26"/>
  <c r="G196" i="26"/>
  <c r="H195" i="26"/>
  <c r="G195" i="26"/>
  <c r="H194" i="26"/>
  <c r="G194" i="26"/>
  <c r="H193" i="26"/>
  <c r="G193" i="26"/>
  <c r="H192" i="26"/>
  <c r="G192" i="26"/>
  <c r="H190" i="26"/>
  <c r="G190" i="26"/>
  <c r="H188" i="26"/>
  <c r="G188" i="26"/>
  <c r="H183" i="26"/>
  <c r="G183" i="26"/>
  <c r="H177" i="26"/>
  <c r="G177" i="26"/>
  <c r="H174" i="26"/>
  <c r="G174" i="26"/>
  <c r="H173" i="26"/>
  <c r="G173" i="26"/>
  <c r="H172" i="26"/>
  <c r="G172" i="26"/>
  <c r="H171" i="26"/>
  <c r="G171" i="26"/>
  <c r="H169" i="26"/>
  <c r="G169" i="26"/>
  <c r="H167" i="26"/>
  <c r="G167" i="26"/>
  <c r="H166" i="26"/>
  <c r="G166" i="26"/>
  <c r="H160" i="26"/>
  <c r="G160" i="26"/>
  <c r="H155" i="26"/>
  <c r="G155" i="26"/>
  <c r="H154" i="26"/>
  <c r="G154" i="26"/>
  <c r="H151" i="26"/>
  <c r="G151" i="26"/>
  <c r="H150" i="26"/>
  <c r="G150" i="26"/>
  <c r="H149" i="26"/>
  <c r="G149" i="26"/>
  <c r="H148" i="26"/>
  <c r="G148" i="26"/>
  <c r="H143" i="26"/>
  <c r="G143" i="26"/>
  <c r="H142" i="26"/>
  <c r="G142" i="26"/>
  <c r="H141" i="26"/>
  <c r="G141" i="26"/>
  <c r="H136" i="26"/>
  <c r="G136" i="26"/>
  <c r="H134" i="26"/>
  <c r="G134" i="26"/>
  <c r="H129" i="26"/>
  <c r="G129" i="26"/>
  <c r="H128" i="26"/>
  <c r="G128" i="26"/>
  <c r="H127" i="26"/>
  <c r="G127" i="26"/>
  <c r="H126" i="26"/>
  <c r="G126" i="26"/>
  <c r="H123" i="26"/>
  <c r="G123" i="26"/>
  <c r="H122" i="26"/>
  <c r="G122" i="26"/>
  <c r="H121" i="26"/>
  <c r="G121" i="26"/>
  <c r="H120" i="26"/>
  <c r="G120" i="26"/>
  <c r="H119" i="26"/>
  <c r="G119" i="26"/>
  <c r="H117" i="26"/>
  <c r="G117" i="26"/>
  <c r="H116" i="26"/>
  <c r="G116" i="26"/>
  <c r="H111" i="26"/>
  <c r="G111" i="26"/>
  <c r="H110" i="26"/>
  <c r="G110" i="26"/>
  <c r="H109" i="26"/>
  <c r="G109" i="26"/>
  <c r="H108" i="26"/>
  <c r="G108" i="26"/>
  <c r="H107" i="26"/>
  <c r="G107" i="26"/>
  <c r="H104" i="26"/>
  <c r="G104" i="26"/>
  <c r="H103" i="26"/>
  <c r="G103" i="26"/>
  <c r="H102" i="26"/>
  <c r="G102" i="26"/>
  <c r="H101" i="26"/>
  <c r="G101" i="26"/>
  <c r="H100" i="26"/>
  <c r="G100" i="26"/>
  <c r="H99" i="26"/>
  <c r="G99" i="26"/>
  <c r="H97" i="26"/>
  <c r="G97" i="26"/>
  <c r="H96" i="26"/>
  <c r="G96" i="26"/>
  <c r="H91" i="26"/>
  <c r="G91" i="26"/>
  <c r="D18" i="22" l="1"/>
  <c r="F81" i="14" l="1"/>
  <c r="D81" i="14" l="1"/>
  <c r="C81" i="14"/>
  <c r="D89" i="14" l="1"/>
  <c r="D66" i="14" l="1"/>
  <c r="F215" i="26"/>
  <c r="F212" i="26"/>
  <c r="F168" i="26"/>
  <c r="F189" i="26"/>
  <c r="H165" i="26" l="1"/>
  <c r="G165" i="26"/>
  <c r="H189" i="26"/>
  <c r="G189" i="26"/>
  <c r="H168" i="26"/>
  <c r="G168" i="26"/>
  <c r="H212" i="26"/>
  <c r="G212" i="26"/>
  <c r="G215" i="26"/>
  <c r="H215" i="26"/>
  <c r="F135" i="26"/>
  <c r="D133" i="26"/>
  <c r="E133" i="26"/>
  <c r="F133" i="26"/>
  <c r="D95" i="26"/>
  <c r="E95" i="26"/>
  <c r="D98" i="26"/>
  <c r="E98" i="26"/>
  <c r="D106" i="26"/>
  <c r="D105" i="26" s="1"/>
  <c r="E106" i="26"/>
  <c r="E105" i="26" s="1"/>
  <c r="F85" i="26"/>
  <c r="F84" i="26"/>
  <c r="F106" i="26"/>
  <c r="F80" i="26"/>
  <c r="F77" i="26"/>
  <c r="F81" i="26"/>
  <c r="F63" i="26"/>
  <c r="F54" i="26"/>
  <c r="F98" i="26"/>
  <c r="F66" i="26"/>
  <c r="F68" i="26"/>
  <c r="F95" i="26"/>
  <c r="F67" i="26"/>
  <c r="F65" i="26"/>
  <c r="F64" i="26"/>
  <c r="F55" i="26"/>
  <c r="F94" i="26" l="1"/>
  <c r="G95" i="26"/>
  <c r="H95" i="26"/>
  <c r="H98" i="26"/>
  <c r="G98" i="26"/>
  <c r="F105" i="26"/>
  <c r="H106" i="26"/>
  <c r="G106" i="26"/>
  <c r="G135" i="26"/>
  <c r="H135" i="26"/>
  <c r="D94" i="26"/>
  <c r="D92" i="26" s="1"/>
  <c r="H133" i="26"/>
  <c r="G133" i="26"/>
  <c r="E94" i="26"/>
  <c r="E92" i="26" s="1"/>
  <c r="F11" i="26"/>
  <c r="F92" i="26" l="1"/>
  <c r="G94" i="26"/>
  <c r="H94" i="26"/>
  <c r="H105" i="26"/>
  <c r="G105" i="26"/>
  <c r="F31" i="26"/>
  <c r="F21" i="26"/>
  <c r="H92" i="26" l="1"/>
  <c r="G92" i="26"/>
  <c r="F170" i="26"/>
  <c r="F164" i="26"/>
  <c r="F140" i="26"/>
  <c r="F125" i="26"/>
  <c r="F118" i="26"/>
  <c r="F115" i="26"/>
  <c r="F59" i="26"/>
  <c r="F82" i="26"/>
  <c r="F191" i="26"/>
  <c r="F18" i="26"/>
  <c r="G170" i="26" l="1"/>
  <c r="H170" i="26"/>
  <c r="H164" i="26"/>
  <c r="G164" i="26"/>
  <c r="F114" i="26"/>
  <c r="F176" i="26"/>
  <c r="D170" i="26"/>
  <c r="E170" i="26"/>
  <c r="F175" i="26" l="1"/>
  <c r="G176" i="26"/>
  <c r="H176" i="26"/>
  <c r="F76" i="26"/>
  <c r="F75" i="26" s="1"/>
  <c r="F206" i="26"/>
  <c r="G206" i="26" l="1"/>
  <c r="H206" i="26"/>
  <c r="H175" i="26"/>
  <c r="G175" i="26"/>
  <c r="F38" i="26"/>
  <c r="G40" i="26"/>
  <c r="H40" i="26"/>
  <c r="F34" i="26"/>
  <c r="F35" i="26" l="1"/>
  <c r="F17" i="26"/>
  <c r="M13" i="26" s="1"/>
  <c r="M33" i="26" s="1"/>
  <c r="F16" i="26"/>
  <c r="M12" i="26" s="1"/>
  <c r="M32" i="26" s="1"/>
  <c r="F12" i="26"/>
  <c r="K25" i="9" l="1"/>
  <c r="L25" i="9"/>
  <c r="E25" i="9"/>
  <c r="F25" i="9"/>
  <c r="G25" i="9"/>
  <c r="H25" i="9"/>
  <c r="I25" i="9"/>
  <c r="J25" i="9"/>
  <c r="N58" i="9"/>
  <c r="N57" i="9"/>
  <c r="N56" i="9"/>
  <c r="N55" i="9"/>
  <c r="F7" i="9"/>
  <c r="G7" i="9"/>
  <c r="H7" i="9"/>
  <c r="I7" i="9"/>
  <c r="J7" i="9"/>
  <c r="K7" i="9"/>
  <c r="L7" i="9"/>
  <c r="E7" i="9"/>
  <c r="E6" i="24"/>
  <c r="N25" i="9" l="1"/>
  <c r="E87" i="14"/>
  <c r="E86" i="14"/>
  <c r="E118" i="26" l="1"/>
  <c r="E14" i="14" s="1"/>
  <c r="D118" i="26"/>
  <c r="D88" i="26"/>
  <c r="F88" i="26"/>
  <c r="E88" i="26"/>
  <c r="G81" i="26"/>
  <c r="H81" i="26"/>
  <c r="G68" i="26"/>
  <c r="H68" i="26"/>
  <c r="G47" i="22"/>
  <c r="H47" i="22"/>
  <c r="G118" i="26" l="1"/>
  <c r="H118" i="26"/>
  <c r="C100" i="24"/>
  <c r="D87" i="26"/>
  <c r="H90" i="26" l="1"/>
  <c r="G90" i="26"/>
  <c r="H89" i="26"/>
  <c r="G89" i="26"/>
  <c r="H86" i="26"/>
  <c r="G86" i="26"/>
  <c r="H85" i="26"/>
  <c r="G85" i="26"/>
  <c r="H84" i="26"/>
  <c r="G84" i="26"/>
  <c r="H83" i="26"/>
  <c r="G83" i="26"/>
  <c r="H82" i="26"/>
  <c r="G82" i="26"/>
  <c r="H80" i="26"/>
  <c r="G80" i="26"/>
  <c r="H79" i="26"/>
  <c r="G79" i="26"/>
  <c r="H78" i="26"/>
  <c r="G78" i="26"/>
  <c r="H77" i="26"/>
  <c r="G77" i="26"/>
  <c r="H74" i="26"/>
  <c r="G74" i="26"/>
  <c r="H73" i="26"/>
  <c r="G73" i="26"/>
  <c r="H72" i="26"/>
  <c r="G72" i="26"/>
  <c r="H71" i="26"/>
  <c r="G71" i="26"/>
  <c r="H70" i="26"/>
  <c r="G70" i="26"/>
  <c r="H69" i="26"/>
  <c r="G69" i="26"/>
  <c r="H67" i="26"/>
  <c r="G67" i="26"/>
  <c r="H66" i="26"/>
  <c r="G66" i="26"/>
  <c r="H65" i="26"/>
  <c r="G65" i="26"/>
  <c r="H64" i="26"/>
  <c r="G64" i="26"/>
  <c r="H63" i="26"/>
  <c r="G63" i="26"/>
  <c r="H62" i="26"/>
  <c r="G62" i="26"/>
  <c r="H61" i="26"/>
  <c r="G61" i="26"/>
  <c r="H60" i="26"/>
  <c r="G60" i="26"/>
  <c r="H58" i="26"/>
  <c r="G58" i="26"/>
  <c r="H57" i="26"/>
  <c r="G57" i="26"/>
  <c r="H56" i="26"/>
  <c r="G56" i="26"/>
  <c r="H55" i="26"/>
  <c r="G55" i="26"/>
  <c r="H54" i="26"/>
  <c r="G54" i="26"/>
  <c r="H53" i="26"/>
  <c r="G53" i="26"/>
  <c r="H52" i="26"/>
  <c r="G52" i="26"/>
  <c r="H51" i="26"/>
  <c r="G51" i="26"/>
  <c r="H46" i="26"/>
  <c r="G46" i="26"/>
  <c r="H44" i="26"/>
  <c r="G44" i="26"/>
  <c r="H43" i="26"/>
  <c r="G43" i="26"/>
  <c r="H41" i="26"/>
  <c r="G41" i="26"/>
  <c r="H39" i="26"/>
  <c r="G39" i="26"/>
  <c r="H37" i="26"/>
  <c r="G37" i="26"/>
  <c r="H36" i="26"/>
  <c r="G36" i="26"/>
  <c r="H34" i="26"/>
  <c r="G34" i="26"/>
  <c r="H33" i="26"/>
  <c r="G33" i="26"/>
  <c r="H32" i="26"/>
  <c r="G32" i="26"/>
  <c r="H31" i="26"/>
  <c r="G31" i="26"/>
  <c r="H30" i="26"/>
  <c r="G30" i="26"/>
  <c r="H29" i="26"/>
  <c r="G29" i="26"/>
  <c r="H28" i="26"/>
  <c r="G28" i="26"/>
  <c r="H27" i="26"/>
  <c r="G27" i="26"/>
  <c r="H26" i="26"/>
  <c r="G26" i="26"/>
  <c r="H25" i="26"/>
  <c r="G25" i="26"/>
  <c r="H24" i="26"/>
  <c r="G24" i="26"/>
  <c r="H23" i="26"/>
  <c r="G23" i="26"/>
  <c r="H22" i="26"/>
  <c r="G22" i="26"/>
  <c r="H21" i="26"/>
  <c r="G21" i="26"/>
  <c r="H19" i="22"/>
  <c r="G19" i="22"/>
  <c r="M74" i="9" l="1"/>
  <c r="M72" i="9"/>
  <c r="M71" i="9"/>
  <c r="M70" i="9"/>
  <c r="M69" i="9"/>
  <c r="M68" i="9"/>
  <c r="M54" i="9"/>
  <c r="M53" i="9"/>
  <c r="M52" i="9"/>
  <c r="M51" i="9"/>
  <c r="M50" i="9"/>
  <c r="M49" i="9"/>
  <c r="M48" i="9"/>
  <c r="M47" i="9"/>
  <c r="G7" i="24"/>
  <c r="F7" i="24"/>
  <c r="E9" i="14"/>
  <c r="M25" i="9" l="1"/>
  <c r="H25" i="22"/>
  <c r="H26" i="22"/>
  <c r="H27" i="22"/>
  <c r="H29" i="22"/>
  <c r="G29" i="22"/>
  <c r="H28" i="22"/>
  <c r="G28" i="22"/>
  <c r="G27" i="22"/>
  <c r="G26" i="22"/>
  <c r="G25" i="22"/>
  <c r="H56" i="22"/>
  <c r="G56" i="22"/>
  <c r="H55" i="22"/>
  <c r="G55" i="22"/>
  <c r="H54" i="22"/>
  <c r="G54" i="22"/>
  <c r="H53" i="22"/>
  <c r="G53" i="22"/>
  <c r="G52" i="22"/>
  <c r="H51" i="22"/>
  <c r="G51" i="22"/>
  <c r="H50" i="22"/>
  <c r="G50" i="22"/>
  <c r="H49" i="22"/>
  <c r="G49" i="22"/>
  <c r="H48" i="22"/>
  <c r="G48" i="22"/>
  <c r="H46" i="22"/>
  <c r="G46" i="22"/>
  <c r="H45" i="22"/>
  <c r="G45" i="22"/>
  <c r="H44" i="22"/>
  <c r="G44" i="22"/>
  <c r="H43" i="22"/>
  <c r="G43" i="22"/>
  <c r="H42" i="22"/>
  <c r="G42" i="22"/>
  <c r="H41" i="22"/>
  <c r="G41" i="22"/>
  <c r="H40" i="22"/>
  <c r="G40" i="22"/>
  <c r="H39" i="22"/>
  <c r="G39" i="22"/>
  <c r="H38" i="22"/>
  <c r="G38" i="22"/>
  <c r="H37" i="22"/>
  <c r="G37" i="22"/>
  <c r="H36" i="22"/>
  <c r="G36" i="22"/>
  <c r="H35" i="22"/>
  <c r="G35" i="22"/>
  <c r="H34" i="22"/>
  <c r="G34" i="22"/>
  <c r="H33" i="22"/>
  <c r="G33" i="22"/>
  <c r="H32" i="22"/>
  <c r="G32" i="22"/>
  <c r="H76" i="22"/>
  <c r="G76" i="22"/>
  <c r="H75" i="22"/>
  <c r="G75" i="22"/>
  <c r="H74" i="22"/>
  <c r="G74" i="22"/>
  <c r="H73" i="22"/>
  <c r="G73" i="22"/>
  <c r="H72" i="22"/>
  <c r="G72" i="22"/>
  <c r="H71" i="22"/>
  <c r="G71" i="22"/>
  <c r="H70" i="22"/>
  <c r="G70" i="22"/>
  <c r="H69" i="22"/>
  <c r="G69" i="22"/>
  <c r="H86" i="22"/>
  <c r="G86" i="22"/>
  <c r="H85" i="22"/>
  <c r="G85" i="22"/>
  <c r="H84" i="22"/>
  <c r="G84" i="22"/>
  <c r="H83" i="22"/>
  <c r="G83" i="22"/>
  <c r="E115" i="26"/>
  <c r="D198" i="26"/>
  <c r="D197" i="26" s="1"/>
  <c r="D191" i="26"/>
  <c r="D181" i="26"/>
  <c r="D164" i="26"/>
  <c r="E147" i="26"/>
  <c r="D147" i="26"/>
  <c r="F147" i="26"/>
  <c r="D140" i="26"/>
  <c r="D125" i="26"/>
  <c r="D115" i="26"/>
  <c r="D76" i="26"/>
  <c r="D75" i="26" s="1"/>
  <c r="E59" i="26"/>
  <c r="D59" i="26"/>
  <c r="D50" i="26"/>
  <c r="D38" i="26"/>
  <c r="D19" i="26"/>
  <c r="E10" i="26"/>
  <c r="D10" i="26"/>
  <c r="K15" i="26" l="1"/>
  <c r="G147" i="26"/>
  <c r="H147" i="26"/>
  <c r="G115" i="26"/>
  <c r="H115" i="26"/>
  <c r="D9" i="26"/>
  <c r="D90" i="14"/>
  <c r="F86" i="14" l="1"/>
  <c r="F18" i="22" l="1"/>
  <c r="E10" i="22" l="1"/>
  <c r="E24" i="14" s="1"/>
  <c r="E22" i="14" s="1"/>
  <c r="I30" i="22" l="1"/>
  <c r="M15" i="26"/>
  <c r="F159" i="26"/>
  <c r="H159" i="26" l="1"/>
  <c r="G159" i="26"/>
  <c r="F158" i="26"/>
  <c r="H158" i="26" l="1"/>
  <c r="G158" i="26"/>
  <c r="F156" i="26"/>
  <c r="E91" i="14"/>
  <c r="E92" i="14"/>
  <c r="E90" i="14"/>
  <c r="H156" i="26" l="1"/>
  <c r="G156" i="26"/>
  <c r="F50" i="26"/>
  <c r="H59" i="26" l="1"/>
  <c r="G59" i="26"/>
  <c r="F49" i="26"/>
  <c r="E96" i="14" l="1"/>
  <c r="E95" i="14"/>
  <c r="E94" i="14"/>
  <c r="F87" i="14"/>
  <c r="F88" i="14"/>
  <c r="C91" i="14"/>
  <c r="C95" i="14" s="1"/>
  <c r="C92" i="14"/>
  <c r="C96" i="14" s="1"/>
  <c r="C90" i="14"/>
  <c r="C94" i="14" s="1"/>
  <c r="E31" i="24" l="1"/>
  <c r="D31" i="24" l="1"/>
  <c r="C6" i="24" l="1"/>
  <c r="C31" i="24"/>
  <c r="C5" i="24" l="1"/>
  <c r="E153" i="26"/>
  <c r="D187" i="26"/>
  <c r="K11" i="26" s="1"/>
  <c r="K31" i="26" s="1"/>
  <c r="E19" i="26"/>
  <c r="D206" i="26" l="1"/>
  <c r="D205" i="26" s="1"/>
  <c r="D49" i="26" l="1"/>
  <c r="D47" i="26" l="1"/>
  <c r="F23" i="22"/>
  <c r="E23" i="22"/>
  <c r="F198" i="26" l="1"/>
  <c r="F187" i="26"/>
  <c r="D186" i="26"/>
  <c r="D163" i="26"/>
  <c r="D161" i="26" s="1"/>
  <c r="E76" i="26"/>
  <c r="E75" i="26" s="1"/>
  <c r="E50" i="26"/>
  <c r="H20" i="26"/>
  <c r="G20" i="26"/>
  <c r="H18" i="26"/>
  <c r="G18" i="26"/>
  <c r="H17" i="26"/>
  <c r="G17" i="26"/>
  <c r="H16" i="26"/>
  <c r="G16" i="26"/>
  <c r="H15" i="26"/>
  <c r="G15" i="26"/>
  <c r="H14" i="26"/>
  <c r="G14" i="26"/>
  <c r="H13" i="26"/>
  <c r="G13" i="26"/>
  <c r="H12" i="26"/>
  <c r="G12" i="26"/>
  <c r="H11" i="26"/>
  <c r="G11" i="26"/>
  <c r="F10" i="26"/>
  <c r="F197" i="26" l="1"/>
  <c r="F186" i="26"/>
  <c r="H88" i="26"/>
  <c r="G88" i="26"/>
  <c r="H76" i="26"/>
  <c r="G76" i="26"/>
  <c r="H50" i="26"/>
  <c r="G50" i="26"/>
  <c r="D35" i="26"/>
  <c r="D59" i="14" l="1"/>
  <c r="F78" i="22" l="1"/>
  <c r="F59" i="22"/>
  <c r="C89" i="14" l="1"/>
  <c r="F90" i="14" l="1"/>
  <c r="F94" i="14" s="1"/>
  <c r="N74" i="9" l="1"/>
  <c r="H73" i="9"/>
  <c r="I73" i="9"/>
  <c r="J73" i="9"/>
  <c r="K73" i="9"/>
  <c r="L73" i="9"/>
  <c r="G73" i="9"/>
  <c r="N47" i="9"/>
  <c r="N48" i="9"/>
  <c r="N49" i="9"/>
  <c r="N50" i="9"/>
  <c r="N51" i="9"/>
  <c r="N52" i="9"/>
  <c r="N53" i="9"/>
  <c r="N54" i="9"/>
  <c r="N68" i="9"/>
  <c r="N69" i="9"/>
  <c r="N70" i="9"/>
  <c r="N71" i="9"/>
  <c r="N72" i="9"/>
  <c r="M73" i="9" l="1"/>
  <c r="H75" i="9"/>
  <c r="N73" i="9"/>
  <c r="J75" i="9"/>
  <c r="K75" i="9"/>
  <c r="L75" i="9"/>
  <c r="E100" i="24" l="1"/>
  <c r="D6" i="24"/>
  <c r="D59" i="22" l="1"/>
  <c r="D100" i="24"/>
  <c r="E125" i="26" l="1"/>
  <c r="E21" i="14" s="1"/>
  <c r="E49" i="14" s="1"/>
  <c r="E124" i="26" l="1"/>
  <c r="H125" i="26"/>
  <c r="G125" i="26"/>
  <c r="E114" i="26"/>
  <c r="H114" i="26" l="1"/>
  <c r="G114" i="26"/>
  <c r="H75" i="14"/>
  <c r="G75" i="14"/>
  <c r="H74" i="14"/>
  <c r="G74" i="14"/>
  <c r="E30" i="22" l="1"/>
  <c r="E7" i="22" l="1"/>
  <c r="D7" i="22"/>
  <c r="E181" i="26" l="1"/>
  <c r="E178" i="26"/>
  <c r="H181" i="26" l="1"/>
  <c r="G181" i="26"/>
  <c r="M11" i="26"/>
  <c r="M31" i="26" s="1"/>
  <c r="D180" i="26"/>
  <c r="D178" i="26" s="1"/>
  <c r="F180" i="26"/>
  <c r="H180" i="26" l="1"/>
  <c r="G180" i="26"/>
  <c r="F178" i="26"/>
  <c r="G178" i="26" l="1"/>
  <c r="H178" i="26"/>
  <c r="H19" i="26"/>
  <c r="G19" i="26"/>
  <c r="F10" i="22"/>
  <c r="E89" i="14" l="1"/>
  <c r="F53" i="14" l="1"/>
  <c r="E130" i="26" l="1"/>
  <c r="F153" i="26" l="1"/>
  <c r="G153" i="26" l="1"/>
  <c r="H153" i="26"/>
  <c r="M22" i="26"/>
  <c r="E38" i="26"/>
  <c r="N7" i="9"/>
  <c r="G75" i="9"/>
  <c r="E35" i="26" l="1"/>
  <c r="H38" i="26"/>
  <c r="G38" i="26"/>
  <c r="N75" i="9"/>
  <c r="E9" i="26"/>
  <c r="E49" i="26"/>
  <c r="H49" i="26" l="1"/>
  <c r="G49" i="26"/>
  <c r="H35" i="26"/>
  <c r="G35" i="26"/>
  <c r="E5" i="24"/>
  <c r="E59" i="22" l="1"/>
  <c r="D159" i="26" l="1"/>
  <c r="D158" i="26" s="1"/>
  <c r="D156" i="26" s="1"/>
  <c r="E45" i="26"/>
  <c r="F45" i="26"/>
  <c r="M29" i="26" s="1"/>
  <c r="M35" i="26" s="1"/>
  <c r="D45" i="26"/>
  <c r="K29" i="26" s="1"/>
  <c r="H45" i="26" l="1"/>
  <c r="G45" i="26"/>
  <c r="D42" i="26"/>
  <c r="F42" i="26"/>
  <c r="F60" i="14" l="1"/>
  <c r="F67" i="14" l="1"/>
  <c r="F9" i="26" l="1"/>
  <c r="F7" i="26" l="1"/>
  <c r="F87" i="26" l="1"/>
  <c r="F47" i="26" l="1"/>
  <c r="F146" i="26"/>
  <c r="C22" i="14" l="1"/>
  <c r="G67" i="14" l="1"/>
  <c r="G65" i="14"/>
  <c r="G63" i="14"/>
  <c r="G62" i="14"/>
  <c r="G61" i="14"/>
  <c r="G60" i="14"/>
  <c r="G58" i="14"/>
  <c r="G56" i="14"/>
  <c r="G54" i="14"/>
  <c r="G53" i="14"/>
  <c r="H82" i="22"/>
  <c r="G82" i="22"/>
  <c r="H20" i="22" l="1"/>
  <c r="G20" i="22"/>
  <c r="H17" i="22"/>
  <c r="G17" i="22"/>
  <c r="H14" i="22"/>
  <c r="G14" i="22"/>
  <c r="H13" i="22"/>
  <c r="G13" i="22"/>
  <c r="H12" i="22"/>
  <c r="G12" i="22"/>
  <c r="H11" i="22"/>
  <c r="G11" i="22"/>
  <c r="H9" i="22"/>
  <c r="G9" i="22"/>
  <c r="F41" i="14" l="1"/>
  <c r="H15" i="22" l="1"/>
  <c r="G15" i="22"/>
  <c r="F75" i="9" l="1"/>
  <c r="I75" i="9"/>
  <c r="E75" i="9"/>
  <c r="H72" i="14" l="1"/>
  <c r="G72" i="14"/>
  <c r="G73" i="14"/>
  <c r="H73" i="14"/>
  <c r="D91" i="14" l="1"/>
  <c r="D95" i="14" s="1"/>
  <c r="D92" i="14"/>
  <c r="D96" i="14" s="1"/>
  <c r="F92" i="14" l="1"/>
  <c r="F96" i="14" s="1"/>
  <c r="F91" i="14"/>
  <c r="F95" i="14" s="1"/>
  <c r="F38" i="14"/>
  <c r="F205" i="26" l="1"/>
  <c r="F163" i="26"/>
  <c r="F214" i="26"/>
  <c r="M21" i="26" l="1"/>
  <c r="F161" i="26"/>
  <c r="G163" i="26"/>
  <c r="H163" i="26"/>
  <c r="F184" i="26"/>
  <c r="G205" i="26"/>
  <c r="H205" i="26"/>
  <c r="F213" i="26"/>
  <c r="H161" i="26" l="1"/>
  <c r="G161" i="26"/>
  <c r="E161" i="26"/>
  <c r="D214" i="26"/>
  <c r="K21" i="26" s="1"/>
  <c r="E214" i="26" l="1"/>
  <c r="L21" i="26" l="1"/>
  <c r="H214" i="26"/>
  <c r="G214" i="26"/>
  <c r="E213" i="26"/>
  <c r="H213" i="26" l="1"/>
  <c r="G213" i="26"/>
  <c r="E42" i="26"/>
  <c r="H42" i="26" l="1"/>
  <c r="G42" i="26"/>
  <c r="E7" i="26"/>
  <c r="E87" i="26" l="1"/>
  <c r="G87" i="26" l="1"/>
  <c r="H87" i="26"/>
  <c r="H75" i="26"/>
  <c r="G75" i="26"/>
  <c r="E47" i="26"/>
  <c r="H47" i="26" l="1"/>
  <c r="G47" i="26"/>
  <c r="E78" i="22"/>
  <c r="D78" i="22"/>
  <c r="D132" i="26" l="1"/>
  <c r="D130" i="26" s="1"/>
  <c r="H81" i="22" l="1"/>
  <c r="G81" i="22"/>
  <c r="H80" i="22"/>
  <c r="G80" i="22"/>
  <c r="H79" i="22"/>
  <c r="G79" i="22"/>
  <c r="H68" i="22"/>
  <c r="G68" i="22"/>
  <c r="H67" i="22"/>
  <c r="G67" i="22"/>
  <c r="H66" i="22"/>
  <c r="G66" i="22"/>
  <c r="H65" i="22"/>
  <c r="G65" i="22"/>
  <c r="H64" i="22"/>
  <c r="G64" i="22"/>
  <c r="H63" i="22"/>
  <c r="G63" i="22"/>
  <c r="H62" i="22"/>
  <c r="G62" i="22"/>
  <c r="H61" i="22"/>
  <c r="G61" i="22"/>
  <c r="H60" i="22"/>
  <c r="G60" i="22"/>
  <c r="H31" i="22"/>
  <c r="G31" i="22"/>
  <c r="H24" i="22"/>
  <c r="G24" i="22"/>
  <c r="H8" i="22" l="1"/>
  <c r="G8" i="22"/>
  <c r="F132" i="26" l="1"/>
  <c r="H132" i="26" l="1"/>
  <c r="G132" i="26"/>
  <c r="F130" i="26"/>
  <c r="H130" i="26" l="1"/>
  <c r="G130" i="26"/>
  <c r="D213" i="26"/>
  <c r="F66" i="14" l="1"/>
  <c r="G66" i="14" s="1"/>
  <c r="F59" i="14"/>
  <c r="C59" i="14"/>
  <c r="C57" i="14" s="1"/>
  <c r="F55" i="14"/>
  <c r="G55" i="14" s="1"/>
  <c r="C55" i="14"/>
  <c r="F89" i="14"/>
  <c r="G49" i="14"/>
  <c r="F17" i="14"/>
  <c r="F23" i="14"/>
  <c r="F26" i="14"/>
  <c r="F33" i="14"/>
  <c r="F35" i="14"/>
  <c r="F37" i="14"/>
  <c r="F40" i="14"/>
  <c r="G59" i="14" l="1"/>
  <c r="H59" i="14"/>
  <c r="E18" i="22"/>
  <c r="D211" i="26" l="1"/>
  <c r="K14" i="26" s="1"/>
  <c r="K34" i="26" s="1"/>
  <c r="E211" i="26"/>
  <c r="L14" i="26" s="1"/>
  <c r="L34" i="26" s="1"/>
  <c r="E210" i="26" l="1"/>
  <c r="E208" i="26" s="1"/>
  <c r="D210" i="26"/>
  <c r="D208" i="26" s="1"/>
  <c r="H34" i="14" l="1"/>
  <c r="H18" i="22" l="1"/>
  <c r="G18" i="22"/>
  <c r="D146" i="26" l="1"/>
  <c r="E191" i="26" l="1"/>
  <c r="G191" i="26" l="1"/>
  <c r="H191" i="26"/>
  <c r="L15" i="26"/>
  <c r="D153" i="26"/>
  <c r="K22" i="26" s="1"/>
  <c r="K35" i="26" s="1"/>
  <c r="K36" i="26" s="1"/>
  <c r="D152" i="26" l="1"/>
  <c r="D144" i="26" l="1"/>
  <c r="E162" i="26" l="1"/>
  <c r="F152" i="26" l="1"/>
  <c r="F144" i="26" l="1"/>
  <c r="F211" i="26"/>
  <c r="H211" i="26" l="1"/>
  <c r="G211" i="26"/>
  <c r="M14" i="26"/>
  <c r="M34" i="26" s="1"/>
  <c r="M36" i="26" s="1"/>
  <c r="F210" i="26"/>
  <c r="G210" i="26" l="1"/>
  <c r="H210" i="26"/>
  <c r="M10" i="26"/>
  <c r="F208" i="26"/>
  <c r="E198" i="26"/>
  <c r="D184" i="26"/>
  <c r="E197" i="26" l="1"/>
  <c r="H198" i="26"/>
  <c r="G198" i="26"/>
  <c r="L22" i="26"/>
  <c r="G208" i="26"/>
  <c r="H208" i="26"/>
  <c r="E187" i="26"/>
  <c r="H197" i="26" l="1"/>
  <c r="G197" i="26"/>
  <c r="G187" i="26"/>
  <c r="H187" i="26"/>
  <c r="L11" i="26"/>
  <c r="L31" i="26" s="1"/>
  <c r="E186" i="26"/>
  <c r="H186" i="26" l="1"/>
  <c r="G186" i="26"/>
  <c r="E184" i="26"/>
  <c r="D5" i="24"/>
  <c r="G5" i="24" s="1"/>
  <c r="H184" i="26" l="1"/>
  <c r="G184" i="26"/>
  <c r="D16" i="22"/>
  <c r="E16" i="22"/>
  <c r="F16" i="22"/>
  <c r="F7" i="22"/>
  <c r="D139" i="26"/>
  <c r="K24" i="26" s="1"/>
  <c r="E140" i="26"/>
  <c r="H140" i="26" l="1"/>
  <c r="G140" i="26"/>
  <c r="L35" i="26"/>
  <c r="L36" i="26" s="1"/>
  <c r="D137" i="26"/>
  <c r="F6" i="22"/>
  <c r="E139" i="26"/>
  <c r="L24" i="26" s="1"/>
  <c r="H16" i="22"/>
  <c r="G16" i="22"/>
  <c r="H10" i="22"/>
  <c r="G10" i="22"/>
  <c r="E146" i="26"/>
  <c r="F139" i="26"/>
  <c r="E152" i="26"/>
  <c r="D6" i="22"/>
  <c r="E6" i="22"/>
  <c r="D124" i="26"/>
  <c r="K17" i="26" s="1"/>
  <c r="G139" i="26" l="1"/>
  <c r="H139" i="26"/>
  <c r="M24" i="26"/>
  <c r="L10" i="26"/>
  <c r="H146" i="26"/>
  <c r="G146" i="26"/>
  <c r="L17" i="26"/>
  <c r="H152" i="26"/>
  <c r="G152" i="26"/>
  <c r="F124" i="26"/>
  <c r="E112" i="26"/>
  <c r="D114" i="26"/>
  <c r="K10" i="26" s="1"/>
  <c r="K8" i="26" s="1"/>
  <c r="E137" i="26"/>
  <c r="E144" i="26"/>
  <c r="G6" i="22"/>
  <c r="H6" i="22"/>
  <c r="F137" i="26"/>
  <c r="H10" i="26"/>
  <c r="G10" i="26"/>
  <c r="L8" i="26" l="1"/>
  <c r="H144" i="26"/>
  <c r="G144" i="26"/>
  <c r="M17" i="26"/>
  <c r="M8" i="26" s="1"/>
  <c r="G124" i="26"/>
  <c r="H124" i="26"/>
  <c r="H137" i="26"/>
  <c r="G137" i="26"/>
  <c r="E6" i="26"/>
  <c r="F112" i="26"/>
  <c r="F6" i="26" s="1"/>
  <c r="D112" i="26"/>
  <c r="D7" i="26"/>
  <c r="D6" i="26" s="1"/>
  <c r="H112" i="26" l="1"/>
  <c r="G112" i="26"/>
  <c r="C25" i="14"/>
  <c r="F50" i="14"/>
  <c r="E50" i="14"/>
  <c r="D50" i="14"/>
  <c r="H49" i="14"/>
  <c r="H48" i="14"/>
  <c r="G48" i="14"/>
  <c r="H47" i="14"/>
  <c r="G47" i="14"/>
  <c r="H46" i="14"/>
  <c r="G46" i="14"/>
  <c r="H45" i="14"/>
  <c r="G45" i="14"/>
  <c r="C93" i="14"/>
  <c r="D93" i="14"/>
  <c r="E81" i="14"/>
  <c r="E93" i="14" s="1"/>
  <c r="F93" i="14"/>
  <c r="G50" i="14" l="1"/>
  <c r="H50" i="14"/>
  <c r="G6" i="24"/>
  <c r="H7" i="22" l="1"/>
  <c r="G7" i="22"/>
  <c r="M7" i="9" l="1"/>
  <c r="F6" i="24"/>
  <c r="H9" i="26"/>
  <c r="G9" i="26"/>
  <c r="H23" i="22"/>
  <c r="H30" i="22"/>
  <c r="H59" i="22"/>
  <c r="H78" i="22"/>
  <c r="G23" i="22"/>
  <c r="G30" i="22"/>
  <c r="G59" i="22"/>
  <c r="G78" i="22"/>
  <c r="P7" i="9" l="1"/>
  <c r="M75" i="9"/>
  <c r="H7" i="26"/>
  <c r="G7" i="26"/>
  <c r="O7" i="9"/>
  <c r="F5" i="24"/>
  <c r="H71" i="14" l="1"/>
  <c r="G71" i="14"/>
  <c r="H53" i="14"/>
  <c r="H54" i="14"/>
  <c r="H55" i="14"/>
  <c r="H56" i="14"/>
  <c r="H58" i="14"/>
  <c r="H60" i="14"/>
  <c r="H61" i="14"/>
  <c r="H62" i="14"/>
  <c r="H63" i="14"/>
  <c r="H65" i="14"/>
  <c r="H66" i="14"/>
  <c r="H67" i="14"/>
  <c r="H10" i="14"/>
  <c r="H11" i="14"/>
  <c r="H12" i="14"/>
  <c r="H13" i="14"/>
  <c r="H14" i="14"/>
  <c r="H17" i="14"/>
  <c r="H18" i="14"/>
  <c r="H19" i="14"/>
  <c r="H20" i="14"/>
  <c r="H21" i="14"/>
  <c r="H23" i="14"/>
  <c r="H24" i="14"/>
  <c r="H26" i="14"/>
  <c r="H27" i="14"/>
  <c r="H28" i="14"/>
  <c r="H30" i="14"/>
  <c r="H32" i="14"/>
  <c r="H33" i="14"/>
  <c r="H35" i="14"/>
  <c r="H37" i="14"/>
  <c r="H38" i="14"/>
  <c r="H40" i="14"/>
  <c r="H41" i="14"/>
  <c r="H8" i="14" l="1"/>
  <c r="G18" i="14"/>
  <c r="G19" i="14"/>
  <c r="G20" i="14"/>
  <c r="G21" i="14"/>
  <c r="G10" i="14"/>
  <c r="G11" i="14"/>
  <c r="G12" i="14"/>
  <c r="G13" i="14"/>
  <c r="G14" i="14"/>
  <c r="G17" i="14"/>
  <c r="G23" i="14"/>
  <c r="G24" i="14"/>
  <c r="G26" i="14"/>
  <c r="G27" i="14"/>
  <c r="G28" i="14"/>
  <c r="G30" i="14"/>
  <c r="G32" i="14"/>
  <c r="G33" i="14"/>
  <c r="G34" i="14"/>
  <c r="G35" i="14"/>
  <c r="G37" i="14"/>
  <c r="G38" i="14"/>
  <c r="G40" i="14"/>
  <c r="G41" i="14"/>
  <c r="G8" i="14"/>
  <c r="H6" i="26" l="1"/>
  <c r="G6" i="26"/>
  <c r="C70" i="14"/>
  <c r="D70" i="14"/>
  <c r="E70" i="14"/>
  <c r="F70" i="14"/>
  <c r="G70" i="14" l="1"/>
  <c r="H70" i="14"/>
  <c r="D57" i="14"/>
  <c r="D52" i="14"/>
  <c r="C52" i="14"/>
  <c r="D64" i="14"/>
  <c r="E64" i="14"/>
  <c r="F64" i="14"/>
  <c r="C64" i="14"/>
  <c r="E57" i="14"/>
  <c r="F57" i="14"/>
  <c r="E52" i="14"/>
  <c r="F52" i="14"/>
  <c r="E25" i="14"/>
  <c r="D22" i="14"/>
  <c r="E42" i="14"/>
  <c r="C42" i="14"/>
  <c r="G64" i="14" l="1"/>
  <c r="G57" i="14"/>
  <c r="H52" i="14"/>
  <c r="G52" i="14"/>
  <c r="D42" i="14"/>
  <c r="F22" i="14"/>
  <c r="H22" i="14" s="1"/>
  <c r="H64" i="14"/>
  <c r="H57" i="14"/>
  <c r="C68" i="14"/>
  <c r="E68" i="14"/>
  <c r="D68" i="14"/>
  <c r="F68" i="14"/>
  <c r="D16" i="14"/>
  <c r="F16" i="14" s="1"/>
  <c r="E16" i="14"/>
  <c r="C16" i="14"/>
  <c r="D9" i="14"/>
  <c r="C9" i="14"/>
  <c r="C43" i="14" s="1"/>
  <c r="G68" i="14" l="1"/>
  <c r="F42" i="14"/>
  <c r="H42" i="14" s="1"/>
  <c r="G22" i="14"/>
  <c r="F9" i="14"/>
  <c r="H9" i="14" s="1"/>
  <c r="D15" i="14"/>
  <c r="E15" i="14"/>
  <c r="E31" i="14" s="1"/>
  <c r="E36" i="14" s="1"/>
  <c r="E39" i="14" s="1"/>
  <c r="E43" i="14"/>
  <c r="H16" i="14"/>
  <c r="H68" i="14"/>
  <c r="G16" i="14"/>
  <c r="G42" i="14" l="1"/>
  <c r="G9" i="14"/>
  <c r="F15" i="14" l="1"/>
  <c r="C15" i="14"/>
  <c r="C31" i="14" s="1"/>
  <c r="C36" i="14" s="1"/>
  <c r="G15" i="14" l="1"/>
  <c r="H15" i="14"/>
  <c r="C39" i="14" l="1"/>
  <c r="G29" i="14"/>
  <c r="H29" i="14"/>
  <c r="D25" i="14"/>
  <c r="F25" i="14" s="1"/>
  <c r="D31" i="14" l="1"/>
  <c r="D36" i="14" s="1"/>
  <c r="D43" i="14"/>
  <c r="F43" i="14" s="1"/>
  <c r="G43" i="14" s="1"/>
  <c r="F36" i="14"/>
  <c r="D39" i="14"/>
  <c r="F39" i="14" s="1"/>
  <c r="H25" i="14"/>
  <c r="G25" i="14"/>
  <c r="F31" i="14"/>
  <c r="H43" i="14" l="1"/>
  <c r="G39" i="14"/>
  <c r="H39" i="14"/>
  <c r="H31" i="14"/>
  <c r="G31" i="14"/>
  <c r="G36" i="14"/>
  <c r="H36" i="14"/>
</calcChain>
</file>

<file path=xl/sharedStrings.xml><?xml version="1.0" encoding="utf-8"?>
<sst xmlns="http://schemas.openxmlformats.org/spreadsheetml/2006/main" count="815" uniqueCount="415">
  <si>
    <t>придбання (виготовлення) основних засобів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</si>
  <si>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</si>
  <si>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</si>
  <si>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</si>
  <si>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</si>
  <si>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</si>
  <si>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</si>
  <si>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придбання (виготовлення) інших необоротних матеріальних активів</t>
  </si>
  <si>
    <t>№ з/п</t>
  </si>
  <si>
    <t>Усього</t>
  </si>
  <si>
    <t>(посада)</t>
  </si>
  <si>
    <t>(підпис)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</si>
  <si>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</si>
  <si>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</si>
  <si>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</si>
  <si>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Фінансовий результат до оподаткування</t>
  </si>
  <si>
    <t xml:space="preserve">         (ініціали, прізвище)    </t>
  </si>
  <si>
    <t>(ініціали, прізвище)</t>
  </si>
  <si>
    <t>Основні фінансові показники</t>
  </si>
  <si>
    <t>Капітальні інвестиції</t>
  </si>
  <si>
    <t>Найменування об’єкта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</si>
  <si>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</si>
  <si>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</si>
  <si>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</si>
  <si>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</si>
  <si>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</si>
  <si>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(    )</t>
  </si>
  <si>
    <t>Інші доходи, усього, у тому числі:</t>
  </si>
  <si>
    <t>Витрати з податку на прибуток</t>
  </si>
  <si>
    <t>Дохід з податку на прибуток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</si>
  <si>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</si>
  <si>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</si>
  <si>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</si>
  <si>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</si>
  <si>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</si>
  <si>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</si>
  <si>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</si>
  <si>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</si>
  <si>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податок на прибуток підприємств</t>
  </si>
  <si>
    <t>капітальний ремонт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</si>
  <si>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</si>
  <si>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</si>
  <si>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</si>
  <si>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</si>
  <si>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</si>
  <si>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</si>
  <si>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</si>
  <si>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</si>
  <si>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</si>
  <si>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</si>
  <si>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</si>
  <si>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тис. грн (без ПДВ)</t>
  </si>
  <si>
    <t>{Додаток 1 в редакції Наказу Міністерства економічного розвитку і торгівлі № 1394 від 03.11.2015}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</si>
  <si>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</si>
  <si>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</si>
  <si>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</si>
  <si>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</si>
  <si>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</si>
  <si>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</si>
  <si>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</si>
  <si>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 xml:space="preserve"> (посада)</t>
  </si>
  <si>
    <t>військовий збір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</si>
  <si>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</si>
  <si>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</si>
  <si>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</si>
  <si>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тис. грн</t>
  </si>
  <si>
    <t xml:space="preserve">                   (підпис)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</si>
  <si>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</si>
  <si>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</si>
  <si>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</si>
  <si>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</si>
  <si>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</si>
  <si>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Фонд оплату праці</t>
  </si>
  <si>
    <t>8030</t>
  </si>
  <si>
    <t>Чистий дохід від реалізації продукції (товарів, робіт, послуг), усього, у тому числі:</t>
  </si>
  <si>
    <t>ДОХОДИ</t>
  </si>
  <si>
    <t>№Зз/п</t>
  </si>
  <si>
    <t>Інші фінансові доходи, усього, у тому числі:</t>
  </si>
  <si>
    <t>ВИТРАТИ</t>
  </si>
  <si>
    <t>Собівартість реалізованої продукції (товарів, робіт, послуг),</t>
  </si>
  <si>
    <t>Матеріальні витрати, у сього, у т.ч.:</t>
  </si>
  <si>
    <t>Інші витрати, усього, у т.ч:</t>
  </si>
  <si>
    <t>Адміністративні витрати:</t>
  </si>
  <si>
    <t>Інші адміністративні витрати, усього, у т.ч.:</t>
  </si>
  <si>
    <t>ВСЬОГО ВИТРАТ:</t>
  </si>
  <si>
    <t>1.</t>
  </si>
  <si>
    <t>у т.ч. використано на:</t>
  </si>
  <si>
    <t>1.1</t>
  </si>
  <si>
    <t>1.2</t>
  </si>
  <si>
    <t>Адміністративні витрати, усього, у тому числі:</t>
  </si>
  <si>
    <t>Собівартість реалізованої продукції (товарів, робіт, послуг), усього, у т.ч.:</t>
  </si>
  <si>
    <t>1.3</t>
  </si>
  <si>
    <t>Адміністративні витрати, усього, у т.ч.:</t>
  </si>
  <si>
    <t>Інші операційні витрати, усього, у т.ч.:</t>
  </si>
  <si>
    <t>2.</t>
  </si>
  <si>
    <t>Придбання (виготовлення) основних засобів, усього, у т.ч.:</t>
  </si>
  <si>
    <t>Придбання (виготовлення) інших необоротних матеріальних активів, усього, у т.ч.:</t>
  </si>
  <si>
    <t>Інші витрати, усього, у т.ч.:</t>
  </si>
  <si>
    <t>Розділ І. Формування фінансових результатів</t>
  </si>
  <si>
    <t>Розділ IІ. Розрахунки з бюджетом</t>
  </si>
  <si>
    <t>Розділ IV. Капітальні інвестиції</t>
  </si>
  <si>
    <t>Розділ VI. Дані про персонал та витрати на оплату праці</t>
  </si>
  <si>
    <t>Розшифровка №1 до розділу І "Формування фінансових результатів"</t>
  </si>
  <si>
    <t>Розшифровка до розділу  IV. "Капітальні інвестиції"</t>
  </si>
  <si>
    <t>3.</t>
  </si>
  <si>
    <t>4.</t>
  </si>
  <si>
    <t>Матеріальні витрати, усього, у т.ч.:</t>
  </si>
  <si>
    <t>план</t>
  </si>
  <si>
    <t>факт</t>
  </si>
  <si>
    <t>відхилення, +/-</t>
  </si>
  <si>
    <t>виконання, 
%</t>
  </si>
  <si>
    <t>відхилення, +,-</t>
  </si>
  <si>
    <t>відхилення, %</t>
  </si>
  <si>
    <t>відхилення, 
%</t>
  </si>
  <si>
    <t>Відхилення, +,-</t>
  </si>
  <si>
    <t>Відхилення, %</t>
  </si>
  <si>
    <t>Усього доходів</t>
  </si>
  <si>
    <t>Усього видатків</t>
  </si>
  <si>
    <t>Розшифровка №2 до розділу І "Формування фінансових результатів за джерелами доходів та використання коштів"</t>
  </si>
  <si>
    <t>Кошти державного бюджету від Національної служби здоров'я України</t>
  </si>
  <si>
    <t>Інші операційні витрати:</t>
  </si>
  <si>
    <t>Факт наростаючим підсумком з початку року</t>
  </si>
  <si>
    <r>
      <t xml:space="preserve">Чистий дохід від реалізації продукції (товарів, робіт, послуг) </t>
    </r>
    <r>
      <rPr>
        <sz val="16"/>
        <color theme="1"/>
        <rFont val="Times New Roman"/>
        <family val="1"/>
        <charset val="204"/>
      </rPr>
      <t>(розшифрувати)</t>
    </r>
  </si>
  <si>
    <r>
      <t>Інші фінансові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</si>
  <si>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rPr>
        <b/>
        <sz val="16"/>
        <color theme="1"/>
        <rFont val="Times New Roman"/>
        <family val="1"/>
        <charset val="204"/>
      </rPr>
      <t>Фінансові витрати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</si>
  <si>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>Інші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</si>
  <si>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color theme="1"/>
        <rFont val="Times New Roman"/>
        <family val="1"/>
        <charset val="204"/>
      </rPr>
      <t>(розшифрувати)</t>
    </r>
  </si>
  <si>
    <r>
      <t>придбання (виготовлення) основних засобів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</si>
  <si>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</si>
  <si>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</si>
  <si>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t>х</t>
  </si>
  <si>
    <t>Елементи операційних витрат:</t>
  </si>
  <si>
    <t>Залучення кредитних коштів</t>
  </si>
  <si>
    <t>Власні кошти</t>
  </si>
  <si>
    <t>Усього:</t>
  </si>
  <si>
    <t xml:space="preserve">Нараховані до сплати податки та збори до Державного бюджету України (податкові платежі) </t>
  </si>
  <si>
    <t>1.1.1</t>
  </si>
  <si>
    <t xml:space="preserve">медикаменти та перев'язувальні матеріали </t>
  </si>
  <si>
    <t>харчування</t>
  </si>
  <si>
    <t>1.1.2</t>
  </si>
  <si>
    <t>1.1.3</t>
  </si>
  <si>
    <t>1.1.4</t>
  </si>
  <si>
    <t>1.1.5</t>
  </si>
  <si>
    <t>Інші витрати, усього, у тому числі:</t>
  </si>
  <si>
    <t>наркопрофогляд, медогляд</t>
  </si>
  <si>
    <t>гістологічні дослідження</t>
  </si>
  <si>
    <t>дослідження на ВІЛ</t>
  </si>
  <si>
    <t>бактеріологічні дослідження</t>
  </si>
  <si>
    <t xml:space="preserve">ремонт та технічне обслуговування медичного обладнання </t>
  </si>
  <si>
    <t>повірка медичного обладнання</t>
  </si>
  <si>
    <t>технічне обслуговування та ремонт ліфтів</t>
  </si>
  <si>
    <t>телекомунікаційні послуги</t>
  </si>
  <si>
    <t>1.2.2</t>
  </si>
  <si>
    <t>1.2.3</t>
  </si>
  <si>
    <t>1.2.5</t>
  </si>
  <si>
    <t>Інші адмінінстративні витрати, усього, у тому числі</t>
  </si>
  <si>
    <t xml:space="preserve">охоронна сигналізація </t>
  </si>
  <si>
    <t>1.3.2</t>
  </si>
  <si>
    <t>1.3.3</t>
  </si>
  <si>
    <t>господарські товари, техн. засоби, електрозберігаючі лампочки,  будівельні матеріали, засоби для прибирання та гігієни</t>
  </si>
  <si>
    <t>канцтовари, періодичні видання, бланки, журнали</t>
  </si>
  <si>
    <t>дозометричний контроль</t>
  </si>
  <si>
    <t xml:space="preserve">ремонт та технічне обслуговування немедичного обладнання </t>
  </si>
  <si>
    <t>ремонт та технічне обслуговування ПК та оргтехніки</t>
  </si>
  <si>
    <t>ремонт приміщень</t>
  </si>
  <si>
    <t>супровід програмного забезпечення, медіа-супровід, обслуговування сайту, КЕП</t>
  </si>
  <si>
    <t xml:space="preserve">поповнення смарт-карток для проїзду </t>
  </si>
  <si>
    <t>оплата теплопостачання</t>
  </si>
  <si>
    <t xml:space="preserve">оплата водопостачання та водовідведення </t>
  </si>
  <si>
    <t>оплата електроенергії</t>
  </si>
  <si>
    <t>вивіз сміття</t>
  </si>
  <si>
    <t>послуги з навчання</t>
  </si>
  <si>
    <t>Інші  адміністративні витрати, усього, у тому числі:</t>
  </si>
  <si>
    <t>паливно-мастильні матеріали</t>
  </si>
  <si>
    <t>ремонт та технічне обслуговування немедичного обладнання</t>
  </si>
  <si>
    <t>податок на додану вартість</t>
  </si>
  <si>
    <t>витратні матеріали для хворих на цукровий діабет</t>
  </si>
  <si>
    <t xml:space="preserve">оплата електроенергії </t>
  </si>
  <si>
    <t xml:space="preserve">вивіз  сміття </t>
  </si>
  <si>
    <t>9.</t>
  </si>
  <si>
    <t>10.</t>
  </si>
  <si>
    <t>Кошти орендарів (енергоносії)</t>
  </si>
  <si>
    <t>Надходження від відсотків за залишками коштів на депозитних рахунках</t>
  </si>
  <si>
    <t>ремонт та технічне обслуговування медичного обладнання</t>
  </si>
  <si>
    <t>банківські послуги</t>
  </si>
  <si>
    <t>Володимир ПРИСЯЖНЮК</t>
  </si>
  <si>
    <t>кошти державного бюджету від Національної служби здоров'я України</t>
  </si>
  <si>
    <r>
      <t xml:space="preserve">кошти орендарів </t>
    </r>
    <r>
      <rPr>
        <i/>
        <sz val="14"/>
        <rFont val="Times New Roman"/>
        <family val="1"/>
        <charset val="204"/>
      </rPr>
      <t>(енергоносії)</t>
    </r>
  </si>
  <si>
    <t>благодійна допомога в грошовому еквіваленті</t>
  </si>
  <si>
    <t>благодійна допомога в натуральній формі</t>
  </si>
  <si>
    <t>надходження від відсотків за залишками коштів на депозитних рахунках</t>
  </si>
  <si>
    <t>медикаменти та перев'язувальні матеріали</t>
  </si>
  <si>
    <t>господарські товари, технічні засоби, енергозберігаючі лампочки,  будівельні матеріали, засоби для прибирання та гігієни</t>
  </si>
  <si>
    <t>ремонт та технічне обслуговування ліфтів</t>
  </si>
  <si>
    <t xml:space="preserve">ремонт приміщень </t>
  </si>
  <si>
    <t>ПДВ</t>
  </si>
  <si>
    <t xml:space="preserve">пільгова пенсія </t>
  </si>
  <si>
    <t>Благодійна допомога в натуральній формі</t>
  </si>
  <si>
    <t xml:space="preserve">канцтовари, періодичні видання </t>
  </si>
  <si>
    <t>супровід програмного забезпечення, медіа-супровід, обслуговування сайту,кваліфікований електронний підпис</t>
  </si>
  <si>
    <t xml:space="preserve">Благодійна допомога в грошовому еквіваленті </t>
  </si>
  <si>
    <t xml:space="preserve">медикаменти та перевязувальні матеріали </t>
  </si>
  <si>
    <t>Нарахування амортизації на безоплатно отримані активи, усього, у т.ч.:</t>
  </si>
  <si>
    <t>нарахування амортизації на безоплатно отримані активи</t>
  </si>
  <si>
    <t>металобрухт</t>
  </si>
  <si>
    <t xml:space="preserve"> </t>
  </si>
  <si>
    <t>Кошти бюджету ВМТГ</t>
  </si>
  <si>
    <t xml:space="preserve">ремонт та технічне обслуговування авто </t>
  </si>
  <si>
    <t xml:space="preserve">послуги з навчання </t>
  </si>
  <si>
    <t>публікація в газеті</t>
  </si>
  <si>
    <t xml:space="preserve">публікація в газеті </t>
  </si>
  <si>
    <t>профвнески</t>
  </si>
  <si>
    <t>Директор КНП "ВМКЛ"ЦМтаД"</t>
  </si>
  <si>
    <t>Кошти бюджету ВМТГ (залишки минулих періодів)</t>
  </si>
  <si>
    <t>Директор КНП"ВМКЛ"ЦМтаД"</t>
  </si>
  <si>
    <r>
      <t>Директор КНП "ВМКЛ"ЦМтаД"</t>
    </r>
    <r>
      <rPr>
        <u/>
        <sz val="16"/>
        <color theme="1"/>
        <rFont val="Times New Roman"/>
        <family val="1"/>
        <charset val="204"/>
      </rPr>
      <t xml:space="preserve"> </t>
    </r>
  </si>
  <si>
    <t>Розшифровка до розділу  IV "Капітальні інвестиції" за джерелами надходження</t>
  </si>
  <si>
    <t>кошти Вінницької міської  територіальної громади (ВМТГ)</t>
  </si>
  <si>
    <t>Капітальний ремонт приміщень четвертого поверху пологового будинку міської лікарні «Центр матері та дитини» за адресою: Україна, м. Вінниця, вул. Синьоводська, 142</t>
  </si>
  <si>
    <t xml:space="preserve">Кошти від надання платних послуг </t>
  </si>
  <si>
    <t>3.1.</t>
  </si>
  <si>
    <t xml:space="preserve">паливно-мастильні матеріали </t>
  </si>
  <si>
    <t xml:space="preserve">оренда медичного обладнання </t>
  </si>
  <si>
    <t xml:space="preserve">ремонт приміщення </t>
  </si>
  <si>
    <t xml:space="preserve">банківські послуги </t>
  </si>
  <si>
    <t>адміністративні послуги</t>
  </si>
  <si>
    <t xml:space="preserve">утилізація медичних відходів </t>
  </si>
  <si>
    <t>1.3.4.</t>
  </si>
  <si>
    <t xml:space="preserve">нарахування амортизації на безоплатно отримані активи </t>
  </si>
  <si>
    <t>4.1.</t>
  </si>
  <si>
    <t>4.1.2.</t>
  </si>
  <si>
    <t>4.3.</t>
  </si>
  <si>
    <t>4.3.1.</t>
  </si>
  <si>
    <t>9.1.</t>
  </si>
  <si>
    <t>9.1.1.</t>
  </si>
  <si>
    <t>9.1.2.</t>
  </si>
  <si>
    <t>10.1.</t>
  </si>
  <si>
    <t>10.1.1.</t>
  </si>
  <si>
    <t xml:space="preserve">кошти від надання платних послуг </t>
  </si>
  <si>
    <t xml:space="preserve">Інші операційні витрати 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</si>
  <si>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ТГ</t>
  </si>
  <si>
    <t>11.</t>
  </si>
  <si>
    <t xml:space="preserve">земельний податок </t>
  </si>
  <si>
    <t>зберігання архівної документації</t>
  </si>
  <si>
    <t>Дохід від оприбуткування вторсировини (металобрухт, медичних відходів)</t>
  </si>
  <si>
    <t>Інші операційні витрати, усього, у т.ч.</t>
  </si>
  <si>
    <t xml:space="preserve">металобрухт </t>
  </si>
  <si>
    <t xml:space="preserve">інформаційно-консультаційні послуги </t>
  </si>
  <si>
    <t xml:space="preserve">оцінка майна </t>
  </si>
  <si>
    <t>Інші джерела (НСЗУ, гуманітарна допомога,централізовані поставки)</t>
  </si>
  <si>
    <t>Бюджетне фінансування (міський бюджет, днржавний бюджет)</t>
  </si>
  <si>
    <t xml:space="preserve">Капітальний ремонт </t>
  </si>
  <si>
    <t>витрати на відрядження</t>
  </si>
  <si>
    <t>пільгова пенсія</t>
  </si>
  <si>
    <t xml:space="preserve">                            </t>
  </si>
  <si>
    <t xml:space="preserve">Капітальний ремонт споруд цивільного захисту (укриттів, бомбосховищ тощо) комунальних некомерційних підприємств охорони здоров'я </t>
  </si>
  <si>
    <t xml:space="preserve">витрати на відрядження </t>
  </si>
  <si>
    <t>Благодійна допомога в натуральній формі (залишки минулих періодів)</t>
  </si>
  <si>
    <t xml:space="preserve">інструментальні дослідження </t>
  </si>
  <si>
    <t xml:space="preserve">Лічильник х/в Ду 25(мактохолод)   </t>
  </si>
  <si>
    <t xml:space="preserve">Баня лабораторна водяна ВБ-4            </t>
  </si>
  <si>
    <t xml:space="preserve">Стілець б/у               </t>
  </si>
  <si>
    <t xml:space="preserve">Возик для прибирання б/у                                                                                                                                                                                </t>
  </si>
  <si>
    <t xml:space="preserve">Масажний столик складний                                             </t>
  </si>
  <si>
    <t xml:space="preserve">Блок живлення  </t>
  </si>
  <si>
    <t>Датчик температури дихальних шляхів Fisher &amp; Paykel</t>
  </si>
  <si>
    <t>Конектор центральної системи кисню</t>
  </si>
  <si>
    <t xml:space="preserve">Електрочайник Gallet BOU701R           </t>
  </si>
  <si>
    <t xml:space="preserve">Праска Philips 5000 Series DST5040/80            </t>
  </si>
  <si>
    <t xml:space="preserve">Дошка для прасування Eurogold 120*38см   </t>
  </si>
  <si>
    <t xml:space="preserve">Матрац б/у           </t>
  </si>
  <si>
    <t>Диспенсер для рушників</t>
  </si>
  <si>
    <t>Каталка для миття лежачих</t>
  </si>
  <si>
    <t xml:space="preserve">Крісло для збору крові   </t>
  </si>
  <si>
    <t>Акумуляторний налобний ліхтарик Ledlenser H8R для хірург.операцій у разі відключення електрики</t>
  </si>
  <si>
    <t xml:space="preserve">Перетворювач 220-110V 450W    </t>
  </si>
  <si>
    <t xml:space="preserve">Камера для зволожувача   </t>
  </si>
  <si>
    <t xml:space="preserve">Мережеве сховище SYNOLOGY NAS DS+Series 8 TB HDD    </t>
  </si>
  <si>
    <t xml:space="preserve">Кольпоскоп МК-200 з відеосистемою (230232)           </t>
  </si>
  <si>
    <t>Кольпоскоп МК-200 з відеосистемою та варіоб"єктивом f=200-400мм(230231</t>
  </si>
  <si>
    <t xml:space="preserve">Інструмент для фототерапії </t>
  </si>
  <si>
    <t xml:space="preserve">Зволожувач  </t>
  </si>
  <si>
    <t>Холодильник для вакцин</t>
  </si>
  <si>
    <t>Інкубатор для перевезення немовлят (комплект кисневих балонів, змін акумулят.та дроти, АШВЛ, візок,носилки)</t>
  </si>
  <si>
    <t>Капітальний ремонт приміщень четвертого поверху пологового будинку комунального некомерційного підприємства «Вінницька міська клінічна лікарня «Центр матері та дитини» за адресою: Україна, м. Вінниця, вул. Синьоводська, 142 (коригування 2)</t>
  </si>
  <si>
    <t xml:space="preserve">Реабілітаційне ліжко б/у    </t>
  </si>
  <si>
    <t xml:space="preserve">Стілець б/у              </t>
  </si>
  <si>
    <t xml:space="preserve">Тумба приліжкова  </t>
  </si>
  <si>
    <t>за І квартал 2024 рік</t>
  </si>
  <si>
    <t>за І квартал 2024 року</t>
  </si>
  <si>
    <t xml:space="preserve">обслуговування ліфтів </t>
  </si>
  <si>
    <t>лабораторні дослідження</t>
  </si>
  <si>
    <t xml:space="preserve">оцінка енергоефективності </t>
  </si>
  <si>
    <t>інструментальні дослідження</t>
  </si>
  <si>
    <t xml:space="preserve">експертний висновок </t>
  </si>
  <si>
    <t>3.1.1.</t>
  </si>
  <si>
    <t>3.1.5.</t>
  </si>
  <si>
    <t>3.2.</t>
  </si>
  <si>
    <t>3.2.2.</t>
  </si>
  <si>
    <t>4.1.1.</t>
  </si>
  <si>
    <t>5.1.</t>
  </si>
  <si>
    <t>5.</t>
  </si>
  <si>
    <t>5.1.1</t>
  </si>
  <si>
    <t>6.</t>
  </si>
  <si>
    <t>6.1.</t>
  </si>
  <si>
    <t>6.1.1.</t>
  </si>
  <si>
    <t>7.</t>
  </si>
  <si>
    <t>7.1.</t>
  </si>
  <si>
    <t>7.1.1.</t>
  </si>
  <si>
    <t>7.2.</t>
  </si>
  <si>
    <t>7.2.1.</t>
  </si>
  <si>
    <t>8.</t>
  </si>
  <si>
    <t>8.2.</t>
  </si>
  <si>
    <t>8.2.1.</t>
  </si>
  <si>
    <t>11.1.1.</t>
  </si>
  <si>
    <t>11.1.2.</t>
  </si>
  <si>
    <t>11.1.3.</t>
  </si>
  <si>
    <t>11.2.</t>
  </si>
  <si>
    <t>11.2.2.</t>
  </si>
  <si>
    <t>11.3.</t>
  </si>
  <si>
    <t>11.3.1.</t>
  </si>
  <si>
    <t>12.</t>
  </si>
  <si>
    <t>12.1</t>
  </si>
  <si>
    <t>12.1.1.</t>
  </si>
  <si>
    <t>12.2.</t>
  </si>
  <si>
    <t>12.2.1.</t>
  </si>
  <si>
    <t>дохід від оприбуткування вторсировини (металобрухт, медичних відходів)</t>
  </si>
  <si>
    <t xml:space="preserve">ЗВІТ
 про виконання показників фінансового плану Комунального некомерційного підприємства                                                                                                                                                                                                                                                                                                                                                     "Вінницька міська клінічна лікарня "Центр матері та дитини"
за І квартал 2025 року </t>
  </si>
  <si>
    <t>Звітний за І квартал 2025 рік</t>
  </si>
  <si>
    <t>Факт 
за І квартал 2025 рік</t>
  </si>
  <si>
    <t>План 
за І квартал 2025 рік</t>
  </si>
  <si>
    <t>Факт                   за І квартал 2024 рік</t>
  </si>
  <si>
    <t>план за І квартал
2025 року</t>
  </si>
  <si>
    <t>факт 
за І квартал 2025 року</t>
  </si>
  <si>
    <t>за І квартал 2025 рік</t>
  </si>
  <si>
    <t>за І квартал 2025 року</t>
  </si>
  <si>
    <t xml:space="preserve">встановлення автоматичного шлагбаума з монтажем контролю управління доступу шлагбаумів </t>
  </si>
  <si>
    <t>дератизація, дезинфекція, дезинсекція</t>
  </si>
  <si>
    <t xml:space="preserve">ремонт та технічне обслуговуввання медичного обладнання </t>
  </si>
  <si>
    <t xml:space="preserve">Відеокамера Р EVEN IP-7215PA white     </t>
  </si>
  <si>
    <t xml:space="preserve">Відеореєстратор 16-канальний IP         </t>
  </si>
  <si>
    <t xml:space="preserve">Свіч 4-х портовий             </t>
  </si>
  <si>
    <t xml:space="preserve">Свіч 8-х портовий   </t>
  </si>
  <si>
    <t xml:space="preserve">Свіч 5-х портовий                                                                          </t>
  </si>
  <si>
    <t xml:space="preserve">Ролети зовнішні захисні коричневі      </t>
  </si>
  <si>
    <t xml:space="preserve">Блок електронний приладу доступу U-Prox IP 400 EM              </t>
  </si>
  <si>
    <t xml:space="preserve">Зчитувч настільний мультиформатний U-Prox Desktop    </t>
  </si>
  <si>
    <t xml:space="preserve">Зчитувач мультиформатний U-Prox SL maxi           </t>
  </si>
  <si>
    <t xml:space="preserve">Плед для н/н 70*90                                 </t>
  </si>
  <si>
    <t xml:space="preserve">Конверт дитячий  </t>
  </si>
  <si>
    <t xml:space="preserve">Опромінювач бактеріцидний (3*30)ОБПе-225 М Заповіт       </t>
  </si>
  <si>
    <t xml:space="preserve">Фен настінний Trento 2000w       </t>
  </si>
  <si>
    <t>Посудомийна машина INDESIT DSCFE 1D10 S RU</t>
  </si>
  <si>
    <t xml:space="preserve">Електрочайник HOLMER HKS-202D(Подвійні стінки)             </t>
  </si>
  <si>
    <t xml:space="preserve">Електрочайник Blaufisch BEK-244DW                                 </t>
  </si>
  <si>
    <t xml:space="preserve">Акумуляторна батарея 25 Ah/12V       </t>
  </si>
  <si>
    <t xml:space="preserve">Кронштейн для телевізора ATG W2450AB для діагоналей 24-50 дюйма </t>
  </si>
  <si>
    <t xml:space="preserve">Пульсоксиметр Heaco G1B укомплектований датчиком Sp02 для немовляти        </t>
  </si>
  <si>
    <t xml:space="preserve">Інвалідний візок               </t>
  </si>
  <si>
    <t xml:space="preserve">Ходунки     </t>
  </si>
  <si>
    <t xml:space="preserve">Колонки 3800 чорні     </t>
  </si>
  <si>
    <t xml:space="preserve">Інвалідний візок б/в                           </t>
  </si>
  <si>
    <t xml:space="preserve">Стуло-туалет             </t>
  </si>
  <si>
    <t xml:space="preserve">Ліжко медичне               </t>
  </si>
  <si>
    <t xml:space="preserve">Ліжко дитяче  </t>
  </si>
  <si>
    <t xml:space="preserve">Сидіння для душа           </t>
  </si>
  <si>
    <t xml:space="preserve">Стільці з отворами             </t>
  </si>
  <si>
    <t xml:space="preserve">Тренажер       </t>
  </si>
  <si>
    <t xml:space="preserve">Монітор Wide View Karl Storz           </t>
  </si>
  <si>
    <t xml:space="preserve">Комп"ютерний комплекс(монітор Acer,системний блок Logik power LG Modics,мишка,принтер CANON MP-230)   </t>
  </si>
  <si>
    <t xml:space="preserve">Терапевтична кушетка                                              </t>
  </si>
  <si>
    <t xml:space="preserve">Насос ручний для бочки з оливою роторний 26л         </t>
  </si>
  <si>
    <t xml:space="preserve">Болгарка 125мм,1400Вт 6000-12200 об/хв.регул.та стаб.оборотів.     </t>
  </si>
  <si>
    <t xml:space="preserve">Чайник нержавійка 1,8л                                    </t>
  </si>
  <si>
    <t xml:space="preserve">Засіб КЗІ електрон.ключ Secure Token -338M    </t>
  </si>
  <si>
    <t xml:space="preserve">Медичне ліжко                          </t>
  </si>
  <si>
    <t xml:space="preserve">Милиці б/у                                         </t>
  </si>
  <si>
    <t xml:space="preserve">Ходунки б/в                                                                                   </t>
  </si>
  <si>
    <t xml:space="preserve">Фартух для рентгенології       </t>
  </si>
  <si>
    <t xml:space="preserve">Ковдра   </t>
  </si>
  <si>
    <t xml:space="preserve">Швейна машинка                </t>
  </si>
  <si>
    <t xml:space="preserve">Інвалідні тростини       </t>
  </si>
  <si>
    <t xml:space="preserve">Ходунки                    </t>
  </si>
  <si>
    <t xml:space="preserve">Розбірні медичні оглядові столи  </t>
  </si>
  <si>
    <t xml:space="preserve">Телевізор LG 32LQ630B6LA Smart TV (11 шт)        </t>
  </si>
  <si>
    <t xml:space="preserve">Відеокамера IP SEVEN IP-7212PA white 2.8mm (10 шт)       </t>
  </si>
  <si>
    <t xml:space="preserve">Лапароскопічна стійка Kari Storz                </t>
  </si>
  <si>
    <t xml:space="preserve">Освітлювач ACMI OLYM                            </t>
  </si>
  <si>
    <t xml:space="preserve">Камера ConMED                              </t>
  </si>
  <si>
    <t xml:space="preserve">Помпа RIchard WOLF       </t>
  </si>
  <si>
    <t xml:space="preserve">Коагулятор ERBE                  </t>
  </si>
  <si>
    <t xml:space="preserve">Інсуфлятор Karl Storz   </t>
  </si>
  <si>
    <t xml:space="preserve">Система цифрового відеозапису Stryker    </t>
  </si>
  <si>
    <t xml:space="preserve">Ірригатор ENDO-IRRIGATOR Richard WOLF                </t>
  </si>
  <si>
    <t xml:space="preserve">Гістероскоп                                                                                    </t>
  </si>
  <si>
    <t xml:space="preserve">Кушетка               </t>
  </si>
  <si>
    <t xml:space="preserve">Шлагбаум автоматичний,комплект  </t>
  </si>
  <si>
    <t>Світильник безтіньовий стельовий Mach-5 Німеччина,Т.В.</t>
  </si>
  <si>
    <t xml:space="preserve">Камера відеоспостереження SN-IPR57/20AKD/T/Z </t>
  </si>
  <si>
    <t xml:space="preserve">Холодильник для вакцин   </t>
  </si>
  <si>
    <t xml:space="preserve">Консоль операційна  </t>
  </si>
  <si>
    <t xml:space="preserve">Вентиляційна система (PRANNA 200C+PRANNA150 з комлектом автоматики)           </t>
  </si>
  <si>
    <t>2.1</t>
  </si>
  <si>
    <t>2.1.1</t>
  </si>
  <si>
    <t>2.1.2</t>
  </si>
  <si>
    <t>2.1.3</t>
  </si>
  <si>
    <t>2.1.4</t>
  </si>
  <si>
    <t>2.1.5</t>
  </si>
  <si>
    <t>2.3</t>
  </si>
  <si>
    <t>2.3.1</t>
  </si>
  <si>
    <t>2.2</t>
  </si>
  <si>
    <t>2.2.1</t>
  </si>
  <si>
    <t>Кошти від надання платних послуг (залишки коштів на рахунках)</t>
  </si>
  <si>
    <t>Факт 
за І квартал 2024 рік</t>
  </si>
  <si>
    <t>кошти Вінницької міської  територіальної громади (ВМТГ) (залишки минулих періодів)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</si>
</sst>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#,##0&quot;р.&quot;;[Red]\-#,##0&quot;р.&quot;"/>
    <numFmt numFmtId="165" formatCode="#,##0.00&quot;р.&quot;;\-#,##0.00&quot;р.&quot;"/>
    <numFmt numFmtId="166" formatCode="_-* #,##0.00_р_._-;\-* #,##0.00_р_._-;_-* &quot;-&quot;??_р_._-;_-@_-"/>
    <numFmt numFmtId="167" formatCode="_-* #,##0.00_₴_-;\-* #,##0.00_₴_-;_-* &quot;-&quot;??_₴_-;_-@_-"/>
    <numFmt numFmtId="168" formatCode="_-* #,##0.00\ _г_р_н_._-;\-* #,##0.00\ _г_р_н_._-;_-* &quot;-&quot;??\ _г_р_н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_);_(@_)"/>
    <numFmt numFmtId="179" formatCode="_-* #,##0.0\ _₴_-;\-* #,##0.0\ _₴_-;_-* &quot;-&quot;?\ _₴_-;_-@_-"/>
    <numFmt numFmtId="180" formatCode="_-* #,##0.0_р_._-;\-* #,##0.0_р_._-;_-* &quot;-&quot;?_р_._-;_-@_-"/>
  </numFmts>
  <fonts count="9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u/>
      <sz val="16"/>
      <color theme="1"/>
      <name val="Times New Roman"/>
      <family val="1"/>
      <charset val="204"/>
    </font>
    <font>
      <u/>
      <sz val="16"/>
      <color theme="1"/>
      <name val="Arial Cyr"/>
      <charset val="204"/>
    </font>
    <font>
      <b/>
      <i/>
      <sz val="16"/>
      <color theme="1"/>
      <name val="Times New Roman"/>
      <family val="1"/>
      <charset val="204"/>
    </font>
    <font>
      <sz val="16"/>
      <color theme="1"/>
      <name val="Arial Cyr"/>
      <charset val="204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u/>
      <sz val="11"/>
      <color indexed="12"/>
      <name val="Calibri"/>
      <family val="2"/>
      <charset val="204"/>
    </font>
    <font>
      <b/>
      <sz val="14"/>
      <color rgb="FFFF0000"/>
      <name val="Times New Roman"/>
      <family val="1"/>
      <charset val="204"/>
    </font>
    <font>
      <b/>
      <i/>
      <sz val="14"/>
      <color theme="0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56">
    <xf numFmtId="0" fontId="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5" fillId="2" borderId="0" applyNumberFormat="0" applyBorder="0" applyAlignment="0" applyProtection="0"/>
    <xf numFmtId="0" fontId="2" fillId="2" borderId="0" applyNumberFormat="0" applyBorder="0" applyAlignment="0" applyProtection="0"/>
    <xf numFmtId="0" fontId="25" fillId="3" borderId="0" applyNumberFormat="0" applyBorder="0" applyAlignment="0" applyProtection="0"/>
    <xf numFmtId="0" fontId="2" fillId="3" borderId="0" applyNumberFormat="0" applyBorder="0" applyAlignment="0" applyProtection="0"/>
    <xf numFmtId="0" fontId="25" fillId="4" borderId="0" applyNumberFormat="0" applyBorder="0" applyAlignment="0" applyProtection="0"/>
    <xf numFmtId="0" fontId="2" fillId="4" borderId="0" applyNumberFormat="0" applyBorder="0" applyAlignment="0" applyProtection="0"/>
    <xf numFmtId="0" fontId="25" fillId="5" borderId="0" applyNumberFormat="0" applyBorder="0" applyAlignment="0" applyProtection="0"/>
    <xf numFmtId="0" fontId="2" fillId="5" borderId="0" applyNumberFormat="0" applyBorder="0" applyAlignment="0" applyProtection="0"/>
    <xf numFmtId="0" fontId="25" fillId="6" borderId="0" applyNumberFormat="0" applyBorder="0" applyAlignment="0" applyProtection="0"/>
    <xf numFmtId="0" fontId="2" fillId="6" borderId="0" applyNumberFormat="0" applyBorder="0" applyAlignment="0" applyProtection="0"/>
    <xf numFmtId="0" fontId="25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5" fillId="8" borderId="0" applyNumberFormat="0" applyBorder="0" applyAlignment="0" applyProtection="0"/>
    <xf numFmtId="0" fontId="2" fillId="8" borderId="0" applyNumberFormat="0" applyBorder="0" applyAlignment="0" applyProtection="0"/>
    <xf numFmtId="0" fontId="25" fillId="9" borderId="0" applyNumberFormat="0" applyBorder="0" applyAlignment="0" applyProtection="0"/>
    <xf numFmtId="0" fontId="2" fillId="9" borderId="0" applyNumberFormat="0" applyBorder="0" applyAlignment="0" applyProtection="0"/>
    <xf numFmtId="0" fontId="25" fillId="10" borderId="0" applyNumberFormat="0" applyBorder="0" applyAlignment="0" applyProtection="0"/>
    <xf numFmtId="0" fontId="2" fillId="10" borderId="0" applyNumberFormat="0" applyBorder="0" applyAlignment="0" applyProtection="0"/>
    <xf numFmtId="0" fontId="25" fillId="5" borderId="0" applyNumberFormat="0" applyBorder="0" applyAlignment="0" applyProtection="0"/>
    <xf numFmtId="0" fontId="2" fillId="5" borderId="0" applyNumberFormat="0" applyBorder="0" applyAlignment="0" applyProtection="0"/>
    <xf numFmtId="0" fontId="25" fillId="8" borderId="0" applyNumberFormat="0" applyBorder="0" applyAlignment="0" applyProtection="0"/>
    <xf numFmtId="0" fontId="2" fillId="8" borderId="0" applyNumberFormat="0" applyBorder="0" applyAlignment="0" applyProtection="0"/>
    <xf numFmtId="0" fontId="25" fillId="11" borderId="0" applyNumberFormat="0" applyBorder="0" applyAlignment="0" applyProtection="0"/>
    <xf numFmtId="0" fontId="2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6" fillId="12" borderId="0" applyNumberFormat="0" applyBorder="0" applyAlignment="0" applyProtection="0"/>
    <xf numFmtId="0" fontId="8" fillId="12" borderId="0" applyNumberFormat="0" applyBorder="0" applyAlignment="0" applyProtection="0"/>
    <xf numFmtId="0" fontId="26" fillId="9" borderId="0" applyNumberFormat="0" applyBorder="0" applyAlignment="0" applyProtection="0"/>
    <xf numFmtId="0" fontId="8" fillId="9" borderId="0" applyNumberFormat="0" applyBorder="0" applyAlignment="0" applyProtection="0"/>
    <xf numFmtId="0" fontId="26" fillId="10" borderId="0" applyNumberFormat="0" applyBorder="0" applyAlignment="0" applyProtection="0"/>
    <xf numFmtId="0" fontId="8" fillId="10" borderId="0" applyNumberFormat="0" applyBorder="0" applyAlignment="0" applyProtection="0"/>
    <xf numFmtId="0" fontId="26" fillId="13" borderId="0" applyNumberFormat="0" applyBorder="0" applyAlignment="0" applyProtection="0"/>
    <xf numFmtId="0" fontId="8" fillId="13" borderId="0" applyNumberFormat="0" applyBorder="0" applyAlignment="0" applyProtection="0"/>
    <xf numFmtId="0" fontId="26" fillId="14" borderId="0" applyNumberFormat="0" applyBorder="0" applyAlignment="0" applyProtection="0"/>
    <xf numFmtId="0" fontId="8" fillId="14" borderId="0" applyNumberFormat="0" applyBorder="0" applyAlignment="0" applyProtection="0"/>
    <xf numFmtId="0" fontId="26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9" fillId="3" borderId="0" applyNumberFormat="0" applyBorder="0" applyAlignment="0" applyProtection="0"/>
    <xf numFmtId="0" fontId="11" fillId="20" borderId="1" applyNumberFormat="0" applyAlignment="0" applyProtection="0"/>
    <xf numFmtId="0" fontId="16" fillId="21" borderId="2" applyNumberFormat="0" applyAlignment="0" applyProtection="0"/>
    <xf numFmtId="49" fontId="27" fillId="0" borderId="3">
      <alignment horizontal="center" vertical="center"/>
      <protection locked="0"/>
    </xf>
    <xf numFmtId="49" fontId="27" fillId="0" borderId="3">
      <alignment horizontal="center" vertical="center"/>
      <protection locked="0"/>
    </xf>
    <xf numFmtId="49" fontId="27" fillId="0" borderId="3">
      <alignment horizontal="center" vertical="center"/>
      <protection locked="0"/>
    </xf>
    <xf numFmtId="49" fontId="27" fillId="0" borderId="3">
      <alignment horizontal="center" vertical="center"/>
      <protection locked="0"/>
    </xf>
    <xf numFmtId="49" fontId="27" fillId="0" borderId="3">
      <alignment horizontal="center" vertical="center"/>
      <protection locked="0"/>
    </xf>
    <xf numFmtId="49" fontId="27" fillId="0" borderId="3">
      <alignment horizontal="center" vertical="center"/>
      <protection locked="0"/>
    </xf>
    <xf numFmtId="49" fontId="27" fillId="0" borderId="3">
      <alignment horizontal="center" vertical="center"/>
      <protection locked="0"/>
    </xf>
    <xf numFmtId="49" fontId="27" fillId="0" borderId="3">
      <alignment horizontal="center" vertical="center"/>
      <protection locked="0"/>
    </xf>
    <xf numFmtId="49" fontId="27" fillId="0" borderId="3">
      <alignment horizontal="center" vertical="center"/>
      <protection locked="0"/>
    </xf>
    <xf numFmtId="49" fontId="27" fillId="0" borderId="3">
      <alignment horizontal="center" vertical="center"/>
      <protection locked="0"/>
    </xf>
    <xf numFmtId="49" fontId="27" fillId="0" borderId="3">
      <alignment horizontal="center" vertical="center"/>
      <protection locked="0"/>
    </xf>
    <xf numFmtId="49" fontId="27" fillId="0" borderId="3">
      <alignment horizontal="center" vertical="center"/>
      <protection locked="0"/>
    </xf>
    <xf numFmtId="49" fontId="27" fillId="0" borderId="3">
      <alignment horizontal="center" vertical="center"/>
      <protection locked="0"/>
    </xf>
    <xf numFmtId="168" fontId="6" fillId="0" borderId="0" applyFont="0" applyFill="0" applyBorder="0" applyAlignment="0" applyProtection="0"/>
    <xf numFmtId="49" fontId="6" fillId="0" borderId="3">
      <alignment horizontal="left" vertical="center"/>
      <protection locked="0"/>
    </xf>
    <xf numFmtId="49" fontId="6" fillId="0" borderId="3">
      <alignment horizontal="left" vertical="center"/>
      <protection locked="0"/>
    </xf>
    <xf numFmtId="49" fontId="6" fillId="0" borderId="3">
      <alignment horizontal="left" vertical="center"/>
      <protection locked="0"/>
    </xf>
    <xf numFmtId="49" fontId="6" fillId="0" borderId="3">
      <alignment horizontal="left" vertical="center"/>
      <protection locked="0"/>
    </xf>
    <xf numFmtId="49" fontId="6" fillId="0" borderId="3">
      <alignment horizontal="left" vertical="center"/>
      <protection locked="0"/>
    </xf>
    <xf numFmtId="49" fontId="6" fillId="0" borderId="3">
      <alignment horizontal="left" vertical="center"/>
      <protection locked="0"/>
    </xf>
    <xf numFmtId="49" fontId="6" fillId="0" borderId="3">
      <alignment horizontal="left" vertical="center"/>
      <protection locked="0"/>
    </xf>
    <xf numFmtId="49" fontId="6" fillId="0" borderId="3">
      <alignment horizontal="left" vertical="center"/>
      <protection locked="0"/>
    </xf>
    <xf numFmtId="49" fontId="6" fillId="0" borderId="3">
      <alignment horizontal="left" vertical="center"/>
      <protection locked="0"/>
    </xf>
    <xf numFmtId="49" fontId="6" fillId="0" borderId="3">
      <alignment horizontal="left" vertical="center"/>
      <protection locked="0"/>
    </xf>
    <xf numFmtId="49" fontId="6" fillId="0" borderId="3">
      <alignment horizontal="left" vertical="center"/>
      <protection locked="0"/>
    </xf>
    <xf numFmtId="49" fontId="6" fillId="0" borderId="3">
      <alignment horizontal="left" vertical="center"/>
      <protection locked="0"/>
    </xf>
    <xf numFmtId="49" fontId="6" fillId="0" borderId="3">
      <alignment horizontal="left" vertical="center"/>
      <protection locked="0"/>
    </xf>
    <xf numFmtId="49" fontId="6" fillId="0" borderId="3">
      <alignment horizontal="left" vertical="center"/>
      <protection locked="0"/>
    </xf>
    <xf numFmtId="49" fontId="6" fillId="0" borderId="3">
      <alignment horizontal="left" vertical="center"/>
      <protection locked="0"/>
    </xf>
    <xf numFmtId="49" fontId="6" fillId="0" borderId="3">
      <alignment horizontal="left" vertical="center"/>
      <protection locked="0"/>
    </xf>
    <xf numFmtId="49" fontId="6" fillId="0" borderId="3">
      <alignment horizontal="left" vertical="center"/>
      <protection locked="0"/>
    </xf>
    <xf numFmtId="0" fontId="20" fillId="0" borderId="0" applyNumberFormat="0" applyFill="0" applyBorder="0" applyAlignment="0" applyProtection="0"/>
    <xf numFmtId="171" fontId="28" fillId="0" borderId="0" applyAlignment="0">
      <alignment wrapText="1"/>
    </xf>
    <xf numFmtId="0" fontId="23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9" fillId="7" borderId="1" applyNumberFormat="0" applyAlignment="0" applyProtection="0"/>
    <xf numFmtId="49" fontId="6" fillId="0" borderId="0" applyNumberFormat="0" applyFont="0" applyAlignment="0">
      <alignment vertical="top" wrapText="1"/>
      <protection locked="0"/>
    </xf>
    <xf numFmtId="49" fontId="6" fillId="0" borderId="0" applyNumberFormat="0" applyFont="0" applyAlignment="0">
      <alignment vertical="top" wrapText="1"/>
    </xf>
    <xf numFmtId="49" fontId="6" fillId="0" borderId="0" applyNumberFormat="0" applyFont="0" applyAlignment="0">
      <alignment vertical="top" wrapText="1"/>
    </xf>
    <xf numFmtId="49" fontId="6" fillId="0" borderId="0" applyNumberFormat="0" applyFont="0" applyAlignment="0">
      <alignment vertical="top" wrapText="1"/>
      <protection locked="0"/>
    </xf>
    <xf numFmtId="49" fontId="6" fillId="0" borderId="0" applyNumberFormat="0" applyFont="0" applyAlignment="0">
      <alignment vertical="top" wrapText="1"/>
    </xf>
    <xf numFmtId="49" fontId="6" fillId="0" borderId="0" applyNumberFormat="0" applyFont="0" applyAlignment="0">
      <alignment vertical="top" wrapText="1"/>
      <protection locked="0"/>
    </xf>
    <xf numFmtId="49" fontId="6" fillId="0" borderId="0" applyNumberFormat="0" applyFont="0" applyAlignment="0">
      <alignment vertical="top" wrapText="1"/>
    </xf>
    <xf numFmtId="49" fontId="6" fillId="0" borderId="0" applyNumberFormat="0" applyFont="0" applyAlignment="0">
      <alignment vertical="top" wrapText="1"/>
      <protection locked="0"/>
    </xf>
    <xf numFmtId="49" fontId="6" fillId="0" borderId="0" applyNumberFormat="0" applyFont="0" applyAlignment="0">
      <alignment vertical="top" wrapText="1"/>
      <protection locked="0"/>
    </xf>
    <xf numFmtId="49" fontId="6" fillId="0" borderId="0" applyNumberFormat="0" applyFont="0" applyAlignment="0">
      <alignment vertical="top" wrapText="1"/>
      <protection locked="0"/>
    </xf>
    <xf numFmtId="49" fontId="6" fillId="0" borderId="0" applyNumberFormat="0" applyFont="0" applyAlignment="0">
      <alignment vertical="top" wrapText="1"/>
      <protection locked="0"/>
    </xf>
    <xf numFmtId="49" fontId="6" fillId="0" borderId="0" applyNumberFormat="0" applyFont="0" applyAlignment="0">
      <alignment vertical="top" wrapText="1"/>
      <protection locked="0"/>
    </xf>
    <xf numFmtId="49" fontId="6" fillId="0" borderId="0" applyNumberFormat="0" applyFont="0" applyAlignment="0">
      <alignment vertical="top" wrapText="1"/>
      <protection locked="0"/>
    </xf>
    <xf numFmtId="49" fontId="6" fillId="0" borderId="0" applyNumberFormat="0" applyFont="0" applyAlignment="0">
      <alignment vertical="top" wrapText="1"/>
      <protection locked="0"/>
    </xf>
    <xf numFmtId="49" fontId="6" fillId="0" borderId="0" applyNumberFormat="0" applyFont="0" applyAlignment="0">
      <alignment vertical="top" wrapText="1"/>
      <protection locked="0"/>
    </xf>
    <xf numFmtId="49" fontId="6" fillId="0" borderId="0" applyNumberFormat="0" applyFont="0" applyAlignment="0">
      <alignment vertical="top" wrapText="1"/>
      <protection locked="0"/>
    </xf>
    <xf numFmtId="49" fontId="6" fillId="0" borderId="0" applyNumberFormat="0" applyFont="0" applyAlignment="0">
      <alignment vertical="top" wrapText="1"/>
      <protection locked="0"/>
    </xf>
    <xf numFmtId="49" fontId="6" fillId="0" borderId="0" applyNumberFormat="0" applyFont="0" applyAlignment="0">
      <alignment vertical="top" wrapText="1"/>
      <protection locked="0"/>
    </xf>
    <xf numFmtId="49" fontId="6" fillId="0" borderId="0" applyNumberFormat="0" applyFont="0" applyAlignment="0">
      <alignment vertical="top" wrapText="1"/>
      <protection locked="0"/>
    </xf>
    <xf numFmtId="49" fontId="6" fillId="0" borderId="0" applyNumberFormat="0" applyFont="0" applyAlignment="0">
      <alignment vertical="top" wrapText="1"/>
      <protection locked="0"/>
    </xf>
    <xf numFmtId="49" fontId="30" fillId="22" borderId="7">
      <alignment horizontal="left" vertical="center"/>
      <protection locked="0"/>
    </xf>
    <xf numFmtId="49" fontId="30" fillId="22" borderId="7">
      <alignment horizontal="left" vertical="center"/>
    </xf>
    <xf numFmtId="4" fontId="30" fillId="22" borderId="7">
      <alignment horizontal="right" vertical="center"/>
      <protection locked="0"/>
    </xf>
    <xf numFmtId="4" fontId="30" fillId="22" borderId="7">
      <alignment horizontal="right" vertical="center"/>
    </xf>
    <xf numFmtId="4" fontId="31" fillId="22" borderId="7">
      <alignment horizontal="right" vertical="center"/>
      <protection locked="0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" fontId="32" fillId="22" borderId="3">
      <alignment horizontal="right" vertical="center"/>
      <protection locked="0"/>
    </xf>
    <xf numFmtId="4" fontId="32" fillId="22" borderId="3">
      <alignment horizontal="right" vertical="center"/>
    </xf>
    <xf numFmtId="4" fontId="34" fillId="22" borderId="3">
      <alignment horizontal="right" vertical="center"/>
      <protection locked="0"/>
    </xf>
    <xf numFmtId="49" fontId="27" fillId="22" borderId="3">
      <alignment horizontal="left" vertical="center"/>
      <protection locked="0"/>
    </xf>
    <xf numFmtId="49" fontId="27" fillId="22" borderId="3">
      <alignment horizontal="left" vertical="center"/>
      <protection locked="0"/>
    </xf>
    <xf numFmtId="49" fontId="27" fillId="22" borderId="3">
      <alignment horizontal="left" vertical="center"/>
    </xf>
    <xf numFmtId="49" fontId="27" fillId="22" borderId="3">
      <alignment horizontal="left" vertical="center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" fontId="27" fillId="22" borderId="3">
      <alignment horizontal="right" vertical="center"/>
      <protection locked="0"/>
    </xf>
    <xf numFmtId="4" fontId="27" fillId="22" borderId="3">
      <alignment horizontal="right" vertical="center"/>
      <protection locked="0"/>
    </xf>
    <xf numFmtId="4" fontId="27" fillId="22" borderId="3">
      <alignment horizontal="right" vertical="center"/>
    </xf>
    <xf numFmtId="4" fontId="27" fillId="22" borderId="3">
      <alignment horizontal="right" vertical="center"/>
    </xf>
    <xf numFmtId="4" fontId="31" fillId="22" borderId="3">
      <alignment horizontal="righ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</xf>
    <xf numFmtId="4" fontId="37" fillId="22" borderId="3">
      <alignment horizontal="right" vertical="center"/>
      <protection locked="0"/>
    </xf>
    <xf numFmtId="49" fontId="38" fillId="0" borderId="3">
      <alignment horizontal="left" vertical="center"/>
      <protection locked="0"/>
    </xf>
    <xf numFmtId="49" fontId="38" fillId="0" borderId="3">
      <alignment horizontal="left" vertical="center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" fontId="38" fillId="0" borderId="3">
      <alignment horizontal="right" vertical="center"/>
      <protection locked="0"/>
    </xf>
    <xf numFmtId="4" fontId="38" fillId="0" borderId="3">
      <alignment horizontal="right" vertical="center"/>
    </xf>
    <xf numFmtId="4" fontId="39" fillId="0" borderId="3">
      <alignment horizontal="right" vertical="center"/>
      <protection locked="0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" fontId="40" fillId="0" borderId="3">
      <alignment horizontal="right" vertical="center"/>
      <protection locked="0"/>
    </xf>
    <xf numFmtId="4" fontId="40" fillId="0" borderId="3">
      <alignment horizontal="right" vertical="center"/>
    </xf>
    <xf numFmtId="49" fontId="38" fillId="0" borderId="3">
      <alignment horizontal="left" vertical="center"/>
      <protection locked="0"/>
    </xf>
    <xf numFmtId="49" fontId="39" fillId="0" borderId="3">
      <alignment horizontal="left" vertical="center"/>
      <protection locked="0"/>
    </xf>
    <xf numFmtId="4" fontId="38" fillId="0" borderId="3">
      <alignment horizontal="right" vertical="center"/>
      <protection locked="0"/>
    </xf>
    <xf numFmtId="0" fontId="21" fillId="0" borderId="8" applyNumberFormat="0" applyFill="0" applyAlignment="0" applyProtection="0"/>
    <xf numFmtId="0" fontId="18" fillId="23" borderId="0" applyNumberFormat="0" applyBorder="0" applyAlignment="0" applyProtection="0"/>
    <xf numFmtId="0" fontId="6" fillId="0" borderId="0"/>
    <xf numFmtId="0" fontId="6" fillId="0" borderId="0"/>
    <xf numFmtId="0" fontId="6" fillId="24" borderId="0" applyNumberFormat="0" applyFill="0" applyAlignment="0">
      <alignment horizontal="center"/>
      <protection locked="0"/>
    </xf>
    <xf numFmtId="0" fontId="3" fillId="25" borderId="9" applyNumberFormat="0" applyFont="0" applyAlignment="0" applyProtection="0"/>
    <xf numFmtId="4" fontId="42" fillId="26" borderId="3">
      <alignment horizontal="right" vertical="center"/>
      <protection locked="0"/>
    </xf>
    <xf numFmtId="4" fontId="42" fillId="27" borderId="3">
      <alignment horizontal="right" vertical="center"/>
      <protection locked="0"/>
    </xf>
    <xf numFmtId="4" fontId="42" fillId="28" borderId="3">
      <alignment horizontal="right" vertical="center"/>
      <protection locked="0"/>
    </xf>
    <xf numFmtId="0" fontId="10" fillId="20" borderId="10" applyNumberFormat="0" applyAlignment="0" applyProtection="0"/>
    <xf numFmtId="49" fontId="27" fillId="0" borderId="3">
      <alignment horizontal="left" vertical="center" wrapText="1"/>
      <protection locked="0"/>
    </xf>
    <xf numFmtId="49" fontId="27" fillId="0" borderId="3">
      <alignment horizontal="left" vertical="center" wrapText="1"/>
      <protection locked="0"/>
    </xf>
    <xf numFmtId="0" fontId="17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6" fillId="16" borderId="0" applyNumberFormat="0" applyBorder="0" applyAlignment="0" applyProtection="0"/>
    <xf numFmtId="0" fontId="8" fillId="16" borderId="0" applyNumberFormat="0" applyBorder="0" applyAlignment="0" applyProtection="0"/>
    <xf numFmtId="0" fontId="26" fillId="17" borderId="0" applyNumberFormat="0" applyBorder="0" applyAlignment="0" applyProtection="0"/>
    <xf numFmtId="0" fontId="8" fillId="17" borderId="0" applyNumberFormat="0" applyBorder="0" applyAlignment="0" applyProtection="0"/>
    <xf numFmtId="0" fontId="26" fillId="18" borderId="0" applyNumberFormat="0" applyBorder="0" applyAlignment="0" applyProtection="0"/>
    <xf numFmtId="0" fontId="8" fillId="18" borderId="0" applyNumberFormat="0" applyBorder="0" applyAlignment="0" applyProtection="0"/>
    <xf numFmtId="0" fontId="26" fillId="13" borderId="0" applyNumberFormat="0" applyBorder="0" applyAlignment="0" applyProtection="0"/>
    <xf numFmtId="0" fontId="8" fillId="13" borderId="0" applyNumberFormat="0" applyBorder="0" applyAlignment="0" applyProtection="0"/>
    <xf numFmtId="0" fontId="26" fillId="14" borderId="0" applyNumberFormat="0" applyBorder="0" applyAlignment="0" applyProtection="0"/>
    <xf numFmtId="0" fontId="8" fillId="14" borderId="0" applyNumberFormat="0" applyBorder="0" applyAlignment="0" applyProtection="0"/>
    <xf numFmtId="0" fontId="26" fillId="19" borderId="0" applyNumberFormat="0" applyBorder="0" applyAlignment="0" applyProtection="0"/>
    <xf numFmtId="0" fontId="8" fillId="19" borderId="0" applyNumberFormat="0" applyBorder="0" applyAlignment="0" applyProtection="0"/>
    <xf numFmtId="0" fontId="43" fillId="7" borderId="1" applyNumberFormat="0" applyAlignment="0" applyProtection="0"/>
    <xf numFmtId="0" fontId="9" fillId="7" borderId="1" applyNumberFormat="0" applyAlignment="0" applyProtection="0"/>
    <xf numFmtId="0" fontId="44" fillId="20" borderId="10" applyNumberFormat="0" applyAlignment="0" applyProtection="0"/>
    <xf numFmtId="0" fontId="10" fillId="20" borderId="10" applyNumberFormat="0" applyAlignment="0" applyProtection="0"/>
    <xf numFmtId="0" fontId="45" fillId="20" borderId="1" applyNumberFormat="0" applyAlignment="0" applyProtection="0"/>
    <xf numFmtId="0" fontId="11" fillId="20" borderId="1" applyNumberFormat="0" applyAlignment="0" applyProtection="0"/>
    <xf numFmtId="172" fontId="6" fillId="0" borderId="0" applyFont="0" applyFill="0" applyBorder="0" applyAlignment="0" applyProtection="0"/>
    <xf numFmtId="0" fontId="46" fillId="0" borderId="4" applyNumberFormat="0" applyFill="0" applyAlignment="0" applyProtection="0"/>
    <xf numFmtId="0" fontId="12" fillId="0" borderId="4" applyNumberFormat="0" applyFill="0" applyAlignment="0" applyProtection="0"/>
    <xf numFmtId="0" fontId="47" fillId="0" borderId="5" applyNumberFormat="0" applyFill="0" applyAlignment="0" applyProtection="0"/>
    <xf numFmtId="0" fontId="13" fillId="0" borderId="5" applyNumberFormat="0" applyFill="0" applyAlignment="0" applyProtection="0"/>
    <xf numFmtId="0" fontId="48" fillId="0" borderId="6" applyNumberFormat="0" applyFill="0" applyAlignment="0" applyProtection="0"/>
    <xf numFmtId="0" fontId="14" fillId="0" borderId="6" applyNumberFormat="0" applyFill="0" applyAlignment="0" applyProtection="0"/>
    <xf numFmtId="0" fontId="4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9" fillId="0" borderId="11" applyNumberFormat="0" applyFill="0" applyAlignment="0" applyProtection="0"/>
    <xf numFmtId="0" fontId="15" fillId="0" borderId="11" applyNumberFormat="0" applyFill="0" applyAlignment="0" applyProtection="0"/>
    <xf numFmtId="0" fontId="50" fillId="21" borderId="2" applyNumberFormat="0" applyAlignment="0" applyProtection="0"/>
    <xf numFmtId="0" fontId="16" fillId="21" borderId="2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1" fillId="23" borderId="0" applyNumberFormat="0" applyBorder="0" applyAlignment="0" applyProtection="0"/>
    <xf numFmtId="0" fontId="18" fillId="2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2" fillId="0" borderId="0"/>
    <xf numFmtId="0" fontId="62" fillId="0" borderId="0"/>
    <xf numFmtId="0" fontId="6" fillId="0" borderId="0"/>
    <xf numFmtId="0" fontId="3" fillId="0" borderId="0"/>
    <xf numFmtId="0" fontId="6" fillId="0" borderId="0"/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52" fillId="3" borderId="0" applyNumberFormat="0" applyBorder="0" applyAlignment="0" applyProtection="0"/>
    <xf numFmtId="0" fontId="19" fillId="3" borderId="0" applyNumberFormat="0" applyBorder="0" applyAlignment="0" applyProtection="0"/>
    <xf numFmtId="0" fontId="5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4" fillId="25" borderId="9" applyNumberFormat="0" applyFont="0" applyAlignment="0" applyProtection="0"/>
    <xf numFmtId="0" fontId="6" fillId="25" borderId="9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5" fillId="0" borderId="8" applyNumberFormat="0" applyFill="0" applyAlignment="0" applyProtection="0"/>
    <xf numFmtId="0" fontId="21" fillId="0" borderId="8" applyNumberFormat="0" applyFill="0" applyAlignment="0" applyProtection="0"/>
    <xf numFmtId="0" fontId="24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73" fontId="58" fillId="0" borderId="0" applyFont="0" applyFill="0" applyBorder="0" applyAlignment="0" applyProtection="0"/>
    <xf numFmtId="174" fontId="58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59" fillId="4" borderId="0" applyNumberFormat="0" applyBorder="0" applyAlignment="0" applyProtection="0"/>
    <xf numFmtId="0" fontId="23" fillId="4" borderId="0" applyNumberFormat="0" applyBorder="0" applyAlignment="0" applyProtection="0"/>
    <xf numFmtId="176" fontId="60" fillId="22" borderId="12" applyFill="0" applyBorder="0">
      <alignment horizontal="center" vertical="center" wrapText="1"/>
      <protection locked="0"/>
    </xf>
    <xf numFmtId="171" fontId="61" fillId="0" borderId="0">
      <alignment wrapText="1"/>
    </xf>
    <xf numFmtId="171" fontId="28" fillId="0" borderId="0">
      <alignment wrapText="1"/>
    </xf>
    <xf numFmtId="0" fontId="6" fillId="0" borderId="0"/>
    <xf numFmtId="0" fontId="1" fillId="0" borderId="0"/>
    <xf numFmtId="0" fontId="88" fillId="0" borderId="0" applyNumberFormat="0" applyFill="0" applyBorder="0" applyAlignment="0" applyProtection="0"/>
  </cellStyleXfs>
  <cellXfs count="269">
    <xf numFmtId="0" fontId="0" fillId="0" borderId="0" xfId="0"/>
    <xf numFmtId="0" fontId="63" fillId="0" borderId="0" xfId="0" applyFont="1" applyFill="1" applyAlignment="1">
      <alignment vertical="center"/>
    </xf>
    <xf numFmtId="0" fontId="66" fillId="0" borderId="0" xfId="0" applyFont="1" applyFill="1" applyBorder="1" applyAlignment="1">
      <alignment vertical="center"/>
    </xf>
    <xf numFmtId="0" fontId="66" fillId="0" borderId="0" xfId="0" applyFont="1" applyFill="1" applyBorder="1" applyAlignment="1">
      <alignment horizontal="center" vertical="center" wrapText="1"/>
    </xf>
    <xf numFmtId="0" fontId="66" fillId="0" borderId="3" xfId="0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vertical="center"/>
    </xf>
    <xf numFmtId="170" fontId="66" fillId="0" borderId="0" xfId="0" applyNumberFormat="1" applyFont="1" applyFill="1" applyBorder="1" applyAlignment="1">
      <alignment horizontal="right" vertical="center" wrapText="1"/>
    </xf>
    <xf numFmtId="0" fontId="66" fillId="0" borderId="0" xfId="0" applyFont="1" applyFill="1" applyBorder="1" applyAlignment="1">
      <alignment horizontal="left" vertical="center" wrapText="1"/>
    </xf>
    <xf numFmtId="0" fontId="66" fillId="0" borderId="0" xfId="0" applyFont="1" applyFill="1" applyBorder="1" applyAlignment="1">
      <alignment vertical="center" wrapText="1"/>
    </xf>
    <xf numFmtId="0" fontId="67" fillId="0" borderId="0" xfId="0" applyFont="1" applyFill="1" applyBorder="1" applyAlignment="1">
      <alignment horizontal="left" vertical="center"/>
    </xf>
    <xf numFmtId="0" fontId="63" fillId="0" borderId="0" xfId="0" applyFont="1" applyFill="1" applyAlignment="1"/>
    <xf numFmtId="0" fontId="74" fillId="0" borderId="0" xfId="0" applyFont="1" applyFill="1" applyAlignment="1">
      <alignment vertical="center"/>
    </xf>
    <xf numFmtId="0" fontId="66" fillId="0" borderId="3" xfId="0" applyFont="1" applyFill="1" applyBorder="1" applyAlignment="1">
      <alignment horizontal="center" vertical="center" wrapText="1"/>
    </xf>
    <xf numFmtId="179" fontId="64" fillId="0" borderId="3" xfId="0" applyNumberFormat="1" applyFont="1" applyFill="1" applyBorder="1" applyAlignment="1">
      <alignment horizontal="center" vertical="center" wrapText="1"/>
    </xf>
    <xf numFmtId="178" fontId="64" fillId="0" borderId="3" xfId="0" applyNumberFormat="1" applyFont="1" applyFill="1" applyBorder="1" applyAlignment="1">
      <alignment horizontal="center" vertical="center" wrapText="1"/>
    </xf>
    <xf numFmtId="178" fontId="66" fillId="0" borderId="3" xfId="0" applyNumberFormat="1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left" vertical="center" wrapText="1"/>
    </xf>
    <xf numFmtId="178" fontId="66" fillId="0" borderId="3" xfId="0" applyNumberFormat="1" applyFont="1" applyFill="1" applyBorder="1" applyAlignment="1">
      <alignment horizontal="center" vertical="center" wrapText="1"/>
    </xf>
    <xf numFmtId="178" fontId="64" fillId="0" borderId="3" xfId="0" applyNumberFormat="1" applyFont="1" applyFill="1" applyBorder="1" applyAlignment="1">
      <alignment horizontal="center" vertical="center"/>
    </xf>
    <xf numFmtId="179" fontId="66" fillId="0" borderId="0" xfId="0" applyNumberFormat="1" applyFont="1" applyFill="1" applyBorder="1" applyAlignment="1">
      <alignment vertical="center"/>
    </xf>
    <xf numFmtId="0" fontId="79" fillId="0" borderId="3" xfId="0" applyFont="1" applyFill="1" applyBorder="1" applyAlignment="1">
      <alignment vertical="center" wrapText="1"/>
    </xf>
    <xf numFmtId="0" fontId="64" fillId="0" borderId="3" xfId="0" applyFont="1" applyFill="1" applyBorder="1" applyAlignment="1">
      <alignment vertical="center" wrapText="1"/>
    </xf>
    <xf numFmtId="0" fontId="66" fillId="0" borderId="3" xfId="0" applyFont="1" applyFill="1" applyBorder="1" applyAlignment="1">
      <alignment vertical="center"/>
    </xf>
    <xf numFmtId="0" fontId="64" fillId="0" borderId="3" xfId="0" quotePrefix="1" applyFont="1" applyFill="1" applyBorder="1" applyAlignment="1">
      <alignment horizontal="center" vertical="center"/>
    </xf>
    <xf numFmtId="179" fontId="64" fillId="0" borderId="0" xfId="0" applyNumberFormat="1" applyFont="1" applyFill="1" applyBorder="1" applyAlignment="1">
      <alignment vertical="center"/>
    </xf>
    <xf numFmtId="0" fontId="71" fillId="0" borderId="0" xfId="0" applyFont="1" applyFill="1" applyBorder="1" applyAlignment="1">
      <alignment horizontal="center" vertical="center" wrapText="1"/>
    </xf>
    <xf numFmtId="0" fontId="66" fillId="0" borderId="0" xfId="0" quotePrefix="1" applyFont="1" applyFill="1" applyBorder="1" applyAlignment="1">
      <alignment horizontal="center" vertical="center"/>
    </xf>
    <xf numFmtId="0" fontId="71" fillId="0" borderId="0" xfId="0" applyFont="1" applyFill="1" applyBorder="1" applyAlignment="1">
      <alignment vertical="center"/>
    </xf>
    <xf numFmtId="178" fontId="66" fillId="0" borderId="0" xfId="0" applyNumberFormat="1" applyFont="1" applyFill="1" applyBorder="1" applyAlignment="1">
      <alignment horizontal="center" vertical="center" wrapText="1"/>
    </xf>
    <xf numFmtId="170" fontId="64" fillId="0" borderId="0" xfId="0" applyNumberFormat="1" applyFont="1" applyFill="1" applyBorder="1" applyAlignment="1">
      <alignment vertical="center"/>
    </xf>
    <xf numFmtId="179" fontId="64" fillId="0" borderId="0" xfId="0" applyNumberFormat="1" applyFont="1" applyFill="1" applyBorder="1" applyAlignment="1">
      <alignment horizontal="center" vertical="center"/>
    </xf>
    <xf numFmtId="178" fontId="64" fillId="0" borderId="0" xfId="0" applyNumberFormat="1" applyFont="1" applyFill="1" applyBorder="1" applyAlignment="1">
      <alignment horizontal="center" vertical="center"/>
    </xf>
    <xf numFmtId="178" fontId="66" fillId="0" borderId="0" xfId="0" applyNumberFormat="1" applyFont="1" applyFill="1" applyBorder="1" applyAlignment="1">
      <alignment horizontal="center" vertical="center"/>
    </xf>
    <xf numFmtId="178" fontId="66" fillId="0" borderId="0" xfId="0" applyNumberFormat="1" applyFont="1" applyFill="1" applyBorder="1" applyAlignment="1">
      <alignment vertical="center"/>
    </xf>
    <xf numFmtId="0" fontId="65" fillId="0" borderId="3" xfId="0" applyFont="1" applyFill="1" applyBorder="1" applyAlignment="1">
      <alignment horizontal="left" vertical="center"/>
    </xf>
    <xf numFmtId="49" fontId="64" fillId="0" borderId="3" xfId="0" applyNumberFormat="1" applyFont="1" applyFill="1" applyBorder="1" applyAlignment="1">
      <alignment horizontal="center" vertical="center"/>
    </xf>
    <xf numFmtId="49" fontId="80" fillId="0" borderId="3" xfId="0" applyNumberFormat="1" applyFont="1" applyFill="1" applyBorder="1" applyAlignment="1">
      <alignment horizontal="center" vertical="center"/>
    </xf>
    <xf numFmtId="0" fontId="80" fillId="0" borderId="3" xfId="0" applyFont="1" applyFill="1" applyBorder="1" applyAlignment="1">
      <alignment horizontal="left" vertical="center" wrapText="1"/>
    </xf>
    <xf numFmtId="0" fontId="80" fillId="0" borderId="3" xfId="0" applyFont="1" applyFill="1" applyBorder="1" applyAlignment="1">
      <alignment horizontal="center" vertical="center" wrapText="1"/>
    </xf>
    <xf numFmtId="178" fontId="76" fillId="0" borderId="3" xfId="0" applyNumberFormat="1" applyFont="1" applyFill="1" applyBorder="1" applyAlignment="1">
      <alignment horizontal="center" vertical="center" wrapText="1"/>
    </xf>
    <xf numFmtId="178" fontId="76" fillId="0" borderId="3" xfId="0" applyNumberFormat="1" applyFont="1" applyFill="1" applyBorder="1" applyAlignment="1">
      <alignment horizontal="center" vertical="center"/>
    </xf>
    <xf numFmtId="49" fontId="78" fillId="0" borderId="3" xfId="0" applyNumberFormat="1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center" vertical="center" wrapText="1"/>
    </xf>
    <xf numFmtId="170" fontId="66" fillId="0" borderId="0" xfId="0" applyNumberFormat="1" applyFont="1" applyFill="1" applyBorder="1" applyAlignment="1">
      <alignment vertical="center"/>
    </xf>
    <xf numFmtId="0" fontId="80" fillId="0" borderId="3" xfId="0" applyFont="1" applyFill="1" applyBorder="1" applyAlignment="1">
      <alignment horizontal="center" vertical="center"/>
    </xf>
    <xf numFmtId="0" fontId="81" fillId="0" borderId="0" xfId="0" applyFont="1" applyFill="1" applyBorder="1" applyAlignment="1">
      <alignment vertical="center"/>
    </xf>
    <xf numFmtId="49" fontId="79" fillId="0" borderId="3" xfId="0" applyNumberFormat="1" applyFont="1" applyFill="1" applyBorder="1" applyAlignment="1">
      <alignment horizontal="center" vertical="center"/>
    </xf>
    <xf numFmtId="178" fontId="66" fillId="0" borderId="0" xfId="0" applyNumberFormat="1" applyFont="1" applyFill="1" applyBorder="1" applyAlignment="1">
      <alignment horizontal="center"/>
    </xf>
    <xf numFmtId="179" fontId="66" fillId="0" borderId="0" xfId="0" applyNumberFormat="1" applyFont="1" applyFill="1" applyBorder="1" applyAlignment="1">
      <alignment horizontal="center"/>
    </xf>
    <xf numFmtId="49" fontId="77" fillId="0" borderId="3" xfId="0" applyNumberFormat="1" applyFont="1" applyFill="1" applyBorder="1" applyAlignment="1">
      <alignment horizontal="center" vertical="center"/>
    </xf>
    <xf numFmtId="169" fontId="66" fillId="0" borderId="0" xfId="0" applyNumberFormat="1" applyFont="1" applyFill="1" applyBorder="1" applyAlignment="1">
      <alignment vertical="center"/>
    </xf>
    <xf numFmtId="0" fontId="77" fillId="0" borderId="3" xfId="0" applyFont="1" applyFill="1" applyBorder="1" applyAlignment="1">
      <alignment horizontal="center" vertical="center"/>
    </xf>
    <xf numFmtId="178" fontId="82" fillId="0" borderId="3" xfId="0" applyNumberFormat="1" applyFont="1" applyFill="1" applyBorder="1" applyAlignment="1">
      <alignment horizontal="center" vertical="center"/>
    </xf>
    <xf numFmtId="0" fontId="77" fillId="0" borderId="3" xfId="0" applyFont="1" applyFill="1" applyBorder="1" applyAlignment="1">
      <alignment horizontal="left" vertical="center" wrapText="1"/>
    </xf>
    <xf numFmtId="0" fontId="80" fillId="0" borderId="15" xfId="0" applyFont="1" applyFill="1" applyBorder="1" applyAlignment="1">
      <alignment vertical="center"/>
    </xf>
    <xf numFmtId="0" fontId="80" fillId="0" borderId="3" xfId="0" applyFont="1" applyFill="1" applyBorder="1" applyAlignment="1">
      <alignment vertical="center" wrapText="1"/>
    </xf>
    <xf numFmtId="0" fontId="77" fillId="0" borderId="3" xfId="0" applyFont="1" applyFill="1" applyBorder="1" applyAlignment="1">
      <alignment vertical="center" wrapText="1"/>
    </xf>
    <xf numFmtId="0" fontId="77" fillId="0" borderId="3" xfId="0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left" vertical="center"/>
    </xf>
    <xf numFmtId="0" fontId="78" fillId="0" borderId="3" xfId="0" applyFont="1" applyFill="1" applyBorder="1" applyAlignment="1">
      <alignment horizontal="left" vertical="center"/>
    </xf>
    <xf numFmtId="0" fontId="79" fillId="0" borderId="13" xfId="0" applyFont="1" applyFill="1" applyBorder="1" applyAlignment="1">
      <alignment horizontal="left" vertical="center" wrapText="1"/>
    </xf>
    <xf numFmtId="0" fontId="78" fillId="0" borderId="3" xfId="0" applyFont="1" applyFill="1" applyBorder="1" applyAlignment="1">
      <alignment horizontal="left" vertical="center" wrapText="1"/>
    </xf>
    <xf numFmtId="0" fontId="76" fillId="0" borderId="3" xfId="0" applyFont="1" applyFill="1" applyBorder="1" applyAlignment="1">
      <alignment vertical="center" wrapText="1"/>
    </xf>
    <xf numFmtId="0" fontId="76" fillId="0" borderId="3" xfId="0" applyFont="1" applyFill="1" applyBorder="1" applyAlignment="1">
      <alignment horizontal="center" vertical="center" wrapText="1"/>
    </xf>
    <xf numFmtId="0" fontId="80" fillId="0" borderId="3" xfId="0" applyFont="1" applyFill="1" applyBorder="1" applyAlignment="1">
      <alignment vertical="center"/>
    </xf>
    <xf numFmtId="49" fontId="76" fillId="0" borderId="3" xfId="0" applyNumberFormat="1" applyFont="1" applyFill="1" applyBorder="1" applyAlignment="1">
      <alignment horizontal="center" vertical="center"/>
    </xf>
    <xf numFmtId="0" fontId="76" fillId="0" borderId="3" xfId="0" applyFont="1" applyFill="1" applyBorder="1" applyAlignment="1">
      <alignment horizontal="left" vertical="center" wrapText="1"/>
    </xf>
    <xf numFmtId="49" fontId="66" fillId="0" borderId="3" xfId="0" applyNumberFormat="1" applyFont="1" applyFill="1" applyBorder="1" applyAlignment="1">
      <alignment horizontal="center" vertical="center"/>
    </xf>
    <xf numFmtId="49" fontId="65" fillId="0" borderId="3" xfId="0" applyNumberFormat="1" applyFont="1" applyFill="1" applyBorder="1" applyAlignment="1">
      <alignment horizontal="center" vertical="center"/>
    </xf>
    <xf numFmtId="0" fontId="77" fillId="0" borderId="3" xfId="0" applyFont="1" applyFill="1" applyBorder="1" applyAlignment="1">
      <alignment vertical="center"/>
    </xf>
    <xf numFmtId="0" fontId="78" fillId="0" borderId="3" xfId="0" applyFont="1" applyFill="1" applyBorder="1" applyAlignment="1">
      <alignment vertical="center"/>
    </xf>
    <xf numFmtId="0" fontId="78" fillId="0" borderId="3" xfId="0" applyFont="1" applyFill="1" applyBorder="1" applyAlignment="1">
      <alignment horizontal="center" vertical="center" wrapText="1"/>
    </xf>
    <xf numFmtId="0" fontId="80" fillId="0" borderId="3" xfId="0" applyFont="1" applyFill="1" applyBorder="1" applyAlignment="1">
      <alignment horizontal="left" vertical="center"/>
    </xf>
    <xf numFmtId="0" fontId="66" fillId="0" borderId="3" xfId="0" applyFont="1" applyFill="1" applyBorder="1" applyAlignment="1">
      <alignment horizontal="left" vertical="center" wrapText="1"/>
    </xf>
    <xf numFmtId="170" fontId="66" fillId="0" borderId="3" xfId="0" applyNumberFormat="1" applyFont="1" applyFill="1" applyBorder="1" applyAlignment="1">
      <alignment horizontal="right" vertical="center" wrapText="1"/>
    </xf>
    <xf numFmtId="0" fontId="71" fillId="0" borderId="0" xfId="0" applyFont="1" applyFill="1" applyBorder="1" applyAlignment="1">
      <alignment horizontal="center" wrapText="1"/>
    </xf>
    <xf numFmtId="0" fontId="64" fillId="0" borderId="0" xfId="0" applyFont="1" applyFill="1" applyBorder="1" applyAlignment="1">
      <alignment horizontal="center" vertical="center"/>
    </xf>
    <xf numFmtId="178" fontId="66" fillId="0" borderId="3" xfId="0" applyNumberFormat="1" applyFont="1" applyFill="1" applyBorder="1" applyAlignment="1">
      <alignment vertical="center"/>
    </xf>
    <xf numFmtId="179" fontId="63" fillId="0" borderId="0" xfId="0" applyNumberFormat="1" applyFont="1" applyFill="1" applyAlignment="1">
      <alignment vertical="center"/>
    </xf>
    <xf numFmtId="180" fontId="66" fillId="0" borderId="0" xfId="0" applyNumberFormat="1" applyFont="1" applyFill="1" applyBorder="1" applyAlignment="1">
      <alignment vertical="center"/>
    </xf>
    <xf numFmtId="0" fontId="23" fillId="0" borderId="0" xfId="349" applyFill="1" applyBorder="1" applyAlignment="1">
      <alignment vertical="center"/>
    </xf>
    <xf numFmtId="0" fontId="76" fillId="0" borderId="0" xfId="0" applyFont="1" applyFill="1" applyBorder="1" applyAlignment="1">
      <alignment vertical="center"/>
    </xf>
    <xf numFmtId="180" fontId="64" fillId="0" borderId="0" xfId="0" applyNumberFormat="1" applyFont="1" applyFill="1" applyBorder="1" applyAlignment="1">
      <alignment vertical="center"/>
    </xf>
    <xf numFmtId="0" fontId="76" fillId="0" borderId="0" xfId="0" applyFont="1" applyFill="1" applyBorder="1" applyAlignment="1">
      <alignment horizontal="center" vertical="center"/>
    </xf>
    <xf numFmtId="0" fontId="64" fillId="0" borderId="0" xfId="0" applyNumberFormat="1" applyFont="1" applyFill="1" applyBorder="1" applyAlignment="1">
      <alignment vertical="center"/>
    </xf>
    <xf numFmtId="0" fontId="76" fillId="0" borderId="0" xfId="0" applyNumberFormat="1" applyFont="1" applyFill="1" applyBorder="1" applyAlignment="1">
      <alignment vertical="center"/>
    </xf>
    <xf numFmtId="178" fontId="64" fillId="0" borderId="0" xfId="0" applyNumberFormat="1" applyFont="1" applyFill="1" applyBorder="1" applyAlignment="1">
      <alignment vertical="center"/>
    </xf>
    <xf numFmtId="0" fontId="63" fillId="0" borderId="0" xfId="0" applyFont="1" applyFill="1" applyAlignment="1">
      <alignment horizontal="right" vertical="center"/>
    </xf>
    <xf numFmtId="0" fontId="63" fillId="0" borderId="13" xfId="0" applyFont="1" applyFill="1" applyBorder="1" applyAlignment="1">
      <alignment vertical="center"/>
    </xf>
    <xf numFmtId="0" fontId="63" fillId="0" borderId="13" xfId="0" applyFont="1" applyFill="1" applyBorder="1" applyAlignment="1">
      <alignment horizontal="center" vertical="center"/>
    </xf>
    <xf numFmtId="178" fontId="83" fillId="0" borderId="3" xfId="0" applyNumberFormat="1" applyFont="1" applyFill="1" applyBorder="1" applyAlignment="1">
      <alignment horizontal="center" vertical="center" wrapText="1"/>
    </xf>
    <xf numFmtId="0" fontId="67" fillId="0" borderId="15" xfId="0" applyFont="1" applyFill="1" applyBorder="1" applyAlignment="1">
      <alignment horizontal="center" vertical="center" wrapText="1"/>
    </xf>
    <xf numFmtId="178" fontId="67" fillId="0" borderId="3" xfId="0" applyNumberFormat="1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 wrapText="1"/>
    </xf>
    <xf numFmtId="169" fontId="63" fillId="0" borderId="0" xfId="0" applyNumberFormat="1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horizontal="right" vertical="center"/>
    </xf>
    <xf numFmtId="169" fontId="67" fillId="0" borderId="0" xfId="0" applyNumberFormat="1" applyFont="1" applyFill="1" applyBorder="1" applyAlignment="1">
      <alignment horizontal="right" vertical="center"/>
    </xf>
    <xf numFmtId="0" fontId="69" fillId="0" borderId="0" xfId="0" applyFont="1" applyFill="1" applyBorder="1" applyAlignment="1">
      <alignment horizontal="center" vertical="center"/>
    </xf>
    <xf numFmtId="0" fontId="69" fillId="0" borderId="18" xfId="0" applyFont="1" applyFill="1" applyBorder="1" applyAlignment="1">
      <alignment horizontal="center" vertical="center"/>
    </xf>
    <xf numFmtId="0" fontId="63" fillId="0" borderId="0" xfId="0" applyFont="1" applyFill="1" applyAlignment="1">
      <alignment vertical="center" wrapText="1" shrinkToFit="1"/>
    </xf>
    <xf numFmtId="0" fontId="63" fillId="0" borderId="0" xfId="0" applyFont="1" applyFill="1" applyBorder="1" applyAlignment="1">
      <alignment vertical="center" wrapText="1" shrinkToFit="1"/>
    </xf>
    <xf numFmtId="0" fontId="66" fillId="0" borderId="3" xfId="0" applyFont="1" applyFill="1" applyBorder="1" applyAlignment="1">
      <alignment horizontal="center" vertical="center" wrapText="1" shrinkToFit="1"/>
    </xf>
    <xf numFmtId="0" fontId="76" fillId="0" borderId="3" xfId="0" quotePrefix="1" applyFont="1" applyFill="1" applyBorder="1" applyAlignment="1">
      <alignment horizontal="center" vertical="center"/>
    </xf>
    <xf numFmtId="170" fontId="66" fillId="0" borderId="0" xfId="0" applyNumberFormat="1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vertical="center"/>
    </xf>
    <xf numFmtId="0" fontId="87" fillId="0" borderId="0" xfId="0" applyFont="1" applyFill="1" applyBorder="1" applyAlignment="1">
      <alignment vertical="center"/>
    </xf>
    <xf numFmtId="0" fontId="79" fillId="0" borderId="13" xfId="0" applyFont="1" applyFill="1" applyBorder="1" applyAlignment="1">
      <alignment horizontal="center" vertical="center"/>
    </xf>
    <xf numFmtId="178" fontId="79" fillId="0" borderId="0" xfId="0" applyNumberFormat="1" applyFont="1" applyFill="1" applyBorder="1" applyAlignment="1">
      <alignment vertical="center"/>
    </xf>
    <xf numFmtId="0" fontId="79" fillId="0" borderId="0" xfId="0" applyFont="1" applyFill="1" applyBorder="1" applyAlignment="1">
      <alignment vertical="center"/>
    </xf>
    <xf numFmtId="179" fontId="81" fillId="0" borderId="0" xfId="0" applyNumberFormat="1" applyFont="1" applyFill="1" applyBorder="1" applyAlignment="1">
      <alignment vertical="center"/>
    </xf>
    <xf numFmtId="170" fontId="66" fillId="0" borderId="3" xfId="0" applyNumberFormat="1" applyFont="1" applyFill="1" applyBorder="1" applyAlignment="1">
      <alignment vertical="center" wrapText="1"/>
    </xf>
    <xf numFmtId="178" fontId="66" fillId="0" borderId="3" xfId="0" applyNumberFormat="1" applyFont="1" applyFill="1" applyBorder="1" applyAlignment="1">
      <alignment vertical="center" wrapText="1"/>
    </xf>
    <xf numFmtId="178" fontId="81" fillId="0" borderId="3" xfId="0" applyNumberFormat="1" applyFont="1" applyFill="1" applyBorder="1" applyAlignment="1">
      <alignment horizontal="center" vertical="center" wrapText="1"/>
    </xf>
    <xf numFmtId="178" fontId="79" fillId="0" borderId="3" xfId="0" applyNumberFormat="1" applyFont="1" applyFill="1" applyBorder="1" applyAlignment="1">
      <alignment horizontal="center" vertical="center"/>
    </xf>
    <xf numFmtId="178" fontId="79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Alignment="1">
      <alignment horizontal="center" vertical="center"/>
    </xf>
    <xf numFmtId="0" fontId="63" fillId="0" borderId="3" xfId="0" applyFont="1" applyFill="1" applyBorder="1" applyAlignment="1">
      <alignment horizontal="center" vertical="center" wrapText="1" shrinkToFit="1"/>
    </xf>
    <xf numFmtId="0" fontId="67" fillId="0" borderId="3" xfId="182" applyFont="1" applyFill="1" applyBorder="1" applyAlignment="1">
      <alignment vertical="center" wrapText="1"/>
      <protection locked="0"/>
    </xf>
    <xf numFmtId="0" fontId="67" fillId="0" borderId="3" xfId="0" applyFont="1" applyFill="1" applyBorder="1" applyAlignment="1">
      <alignment horizontal="center" vertical="center"/>
    </xf>
    <xf numFmtId="169" fontId="63" fillId="0" borderId="0" xfId="0" applyNumberFormat="1" applyFont="1" applyFill="1" applyBorder="1" applyAlignment="1">
      <alignment vertical="center"/>
    </xf>
    <xf numFmtId="0" fontId="63" fillId="0" borderId="3" xfId="0" applyFont="1" applyFill="1" applyBorder="1" applyAlignment="1">
      <alignment horizontal="left" vertical="center" wrapText="1"/>
    </xf>
    <xf numFmtId="178" fontId="63" fillId="0" borderId="3" xfId="0" applyNumberFormat="1" applyFont="1" applyFill="1" applyBorder="1" applyAlignment="1">
      <alignment horizontal="center" vertical="center" wrapText="1"/>
    </xf>
    <xf numFmtId="178" fontId="84" fillId="0" borderId="3" xfId="0" applyNumberFormat="1" applyFont="1" applyFill="1" applyBorder="1" applyAlignment="1">
      <alignment horizontal="center" vertical="center" wrapText="1"/>
    </xf>
    <xf numFmtId="0" fontId="63" fillId="0" borderId="3" xfId="182" applyFont="1" applyFill="1" applyBorder="1" applyAlignment="1">
      <alignment vertical="center" wrapText="1"/>
      <protection locked="0"/>
    </xf>
    <xf numFmtId="178" fontId="85" fillId="0" borderId="3" xfId="0" applyNumberFormat="1" applyFont="1" applyFill="1" applyBorder="1" applyAlignment="1">
      <alignment horizontal="center" vertical="center" wrapText="1"/>
    </xf>
    <xf numFmtId="179" fontId="63" fillId="0" borderId="0" xfId="0" applyNumberFormat="1" applyFont="1" applyFill="1" applyBorder="1" applyAlignment="1">
      <alignment vertical="center"/>
    </xf>
    <xf numFmtId="170" fontId="63" fillId="0" borderId="3" xfId="0" applyNumberFormat="1" applyFont="1" applyFill="1" applyBorder="1" applyAlignment="1">
      <alignment horizontal="center" vertical="center" wrapText="1"/>
    </xf>
    <xf numFmtId="0" fontId="67" fillId="0" borderId="3" xfId="0" applyFont="1" applyFill="1" applyBorder="1" applyAlignment="1">
      <alignment horizontal="left" vertical="center" wrapText="1"/>
    </xf>
    <xf numFmtId="170" fontId="67" fillId="0" borderId="3" xfId="0" applyNumberFormat="1" applyFont="1" applyFill="1" applyBorder="1" applyAlignment="1">
      <alignment horizontal="center" vertical="center" wrapText="1"/>
    </xf>
    <xf numFmtId="0" fontId="67" fillId="0" borderId="3" xfId="245" applyFont="1" applyFill="1" applyBorder="1" applyAlignment="1">
      <alignment horizontal="left" vertical="center" wrapText="1"/>
    </xf>
    <xf numFmtId="0" fontId="63" fillId="0" borderId="3" xfId="245" applyFont="1" applyFill="1" applyBorder="1" applyAlignment="1">
      <alignment horizontal="left" vertical="center" wrapText="1"/>
    </xf>
    <xf numFmtId="0" fontId="67" fillId="0" borderId="3" xfId="0" applyFont="1" applyFill="1" applyBorder="1" applyAlignment="1" applyProtection="1">
      <alignment horizontal="left" vertical="center" wrapText="1"/>
      <protection locked="0"/>
    </xf>
    <xf numFmtId="49" fontId="67" fillId="0" borderId="3" xfId="0" applyNumberFormat="1" applyFont="1" applyFill="1" applyBorder="1" applyAlignment="1">
      <alignment horizontal="center" vertical="center"/>
    </xf>
    <xf numFmtId="177" fontId="67" fillId="0" borderId="3" xfId="0" applyNumberFormat="1" applyFont="1" applyFill="1" applyBorder="1" applyAlignment="1">
      <alignment horizontal="right" vertical="center" wrapText="1"/>
    </xf>
    <xf numFmtId="177" fontId="67" fillId="0" borderId="3" xfId="0" applyNumberFormat="1" applyFont="1" applyFill="1" applyBorder="1" applyAlignment="1">
      <alignment horizontal="center" vertical="center" wrapText="1"/>
    </xf>
    <xf numFmtId="177" fontId="63" fillId="0" borderId="0" xfId="0" applyNumberFormat="1" applyFont="1" applyFill="1" applyBorder="1" applyAlignment="1">
      <alignment horizontal="center" vertical="center"/>
    </xf>
    <xf numFmtId="177" fontId="63" fillId="0" borderId="3" xfId="0" applyNumberFormat="1" applyFont="1" applyFill="1" applyBorder="1" applyAlignment="1">
      <alignment horizontal="right" vertical="center" wrapText="1"/>
    </xf>
    <xf numFmtId="177" fontId="63" fillId="0" borderId="3" xfId="0" applyNumberFormat="1" applyFont="1" applyFill="1" applyBorder="1" applyAlignment="1">
      <alignment horizontal="center" vertical="center" wrapText="1"/>
    </xf>
    <xf numFmtId="177" fontId="63" fillId="0" borderId="0" xfId="0" applyNumberFormat="1" applyFont="1" applyFill="1" applyBorder="1" applyAlignment="1">
      <alignment vertical="center"/>
    </xf>
    <xf numFmtId="0" fontId="86" fillId="0" borderId="0" xfId="0" applyFont="1" applyFill="1" applyBorder="1" applyAlignment="1" applyProtection="1">
      <alignment horizontal="left" vertical="center" wrapText="1"/>
      <protection locked="0"/>
    </xf>
    <xf numFmtId="49" fontId="86" fillId="0" borderId="0" xfId="0" applyNumberFormat="1" applyFont="1" applyFill="1" applyBorder="1" applyAlignment="1">
      <alignment horizontal="center" vertical="center"/>
    </xf>
    <xf numFmtId="177" fontId="86" fillId="0" borderId="0" xfId="0" applyNumberFormat="1" applyFont="1" applyFill="1" applyBorder="1" applyAlignment="1">
      <alignment horizontal="center" vertical="center" wrapText="1"/>
    </xf>
    <xf numFmtId="178" fontId="67" fillId="0" borderId="3" xfId="0" applyNumberFormat="1" applyFont="1" applyFill="1" applyBorder="1" applyAlignment="1">
      <alignment horizontal="right" vertical="center" wrapText="1"/>
    </xf>
    <xf numFmtId="0" fontId="87" fillId="0" borderId="0" xfId="182" applyFont="1" applyFill="1" applyBorder="1" applyAlignment="1">
      <alignment vertical="center" wrapText="1"/>
      <protection locked="0"/>
    </xf>
    <xf numFmtId="0" fontId="87" fillId="0" borderId="0" xfId="0" applyFont="1" applyFill="1" applyBorder="1" applyAlignment="1">
      <alignment horizontal="center" vertical="center"/>
    </xf>
    <xf numFmtId="177" fontId="87" fillId="0" borderId="0" xfId="0" applyNumberFormat="1" applyFont="1" applyFill="1" applyBorder="1" applyAlignment="1">
      <alignment horizontal="center" vertical="center" wrapText="1"/>
    </xf>
    <xf numFmtId="178" fontId="63" fillId="0" borderId="3" xfId="0" applyNumberFormat="1" applyFont="1" applyFill="1" applyBorder="1" applyAlignment="1">
      <alignment horizontal="right" vertical="center" wrapText="1"/>
    </xf>
    <xf numFmtId="170" fontId="63" fillId="0" borderId="3" xfId="0" applyNumberFormat="1" applyFont="1" applyFill="1" applyBorder="1" applyAlignment="1">
      <alignment horizontal="right" vertical="center" wrapText="1"/>
    </xf>
    <xf numFmtId="170" fontId="87" fillId="0" borderId="3" xfId="0" applyNumberFormat="1" applyFont="1" applyFill="1" applyBorder="1" applyAlignment="1">
      <alignment horizontal="right" vertical="center" wrapText="1"/>
    </xf>
    <xf numFmtId="0" fontId="86" fillId="0" borderId="0" xfId="182" applyFont="1" applyFill="1" applyBorder="1" applyAlignment="1">
      <alignment vertical="center" wrapText="1"/>
      <protection locked="0"/>
    </xf>
    <xf numFmtId="0" fontId="86" fillId="0" borderId="0" xfId="0" applyFont="1" applyFill="1" applyBorder="1" applyAlignment="1">
      <alignment horizontal="center" vertical="center"/>
    </xf>
    <xf numFmtId="178" fontId="86" fillId="0" borderId="0" xfId="0" applyNumberFormat="1" applyFont="1" applyFill="1" applyBorder="1" applyAlignment="1">
      <alignment horizontal="center" vertical="center" wrapText="1"/>
    </xf>
    <xf numFmtId="178" fontId="86" fillId="0" borderId="3" xfId="0" applyNumberFormat="1" applyFont="1" applyFill="1" applyBorder="1" applyAlignment="1">
      <alignment horizontal="right" vertical="center" wrapText="1"/>
    </xf>
    <xf numFmtId="178" fontId="87" fillId="0" borderId="0" xfId="0" applyNumberFormat="1" applyFont="1" applyFill="1" applyBorder="1" applyAlignment="1">
      <alignment horizontal="center" vertical="center" wrapText="1"/>
    </xf>
    <xf numFmtId="179" fontId="63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 applyProtection="1">
      <alignment horizontal="left" vertical="center"/>
      <protection locked="0"/>
    </xf>
    <xf numFmtId="170" fontId="67" fillId="0" borderId="0" xfId="0" applyNumberFormat="1" applyFont="1" applyFill="1" applyBorder="1" applyAlignment="1">
      <alignment horizontal="center" vertical="center" wrapText="1"/>
    </xf>
    <xf numFmtId="170" fontId="67" fillId="0" borderId="0" xfId="0" applyNumberFormat="1" applyFont="1" applyFill="1" applyBorder="1" applyAlignment="1">
      <alignment horizontal="right" vertical="center" wrapText="1"/>
    </xf>
    <xf numFmtId="170" fontId="63" fillId="0" borderId="0" xfId="0" applyNumberFormat="1" applyFont="1" applyFill="1" applyBorder="1" applyAlignment="1">
      <alignment horizontal="center" vertical="center" wrapText="1"/>
    </xf>
    <xf numFmtId="0" fontId="63" fillId="0" borderId="0" xfId="0" quotePrefix="1" applyFont="1" applyFill="1" applyBorder="1" applyAlignment="1">
      <alignment horizontal="center" vertical="center"/>
    </xf>
    <xf numFmtId="170" fontId="69" fillId="0" borderId="0" xfId="0" applyNumberFormat="1" applyFont="1" applyFill="1" applyBorder="1" applyAlignment="1">
      <alignment vertical="center"/>
    </xf>
    <xf numFmtId="0" fontId="63" fillId="0" borderId="0" xfId="0" applyFont="1" applyFill="1" applyBorder="1" applyAlignment="1">
      <alignment vertical="center" wrapText="1"/>
    </xf>
    <xf numFmtId="179" fontId="79" fillId="0" borderId="0" xfId="0" applyNumberFormat="1" applyFont="1" applyFill="1" applyBorder="1" applyAlignment="1">
      <alignment vertical="center"/>
    </xf>
    <xf numFmtId="178" fontId="82" fillId="0" borderId="3" xfId="0" applyNumberFormat="1" applyFont="1" applyFill="1" applyBorder="1" applyAlignment="1">
      <alignment horizontal="center" vertical="center" wrapText="1"/>
    </xf>
    <xf numFmtId="0" fontId="64" fillId="0" borderId="3" xfId="0" applyFont="1" applyFill="1" applyBorder="1" applyAlignment="1">
      <alignment horizontal="left" vertical="center"/>
    </xf>
    <xf numFmtId="0" fontId="64" fillId="0" borderId="3" xfId="0" applyFont="1" applyFill="1" applyBorder="1" applyAlignment="1">
      <alignment horizontal="center" vertical="center" wrapText="1"/>
    </xf>
    <xf numFmtId="0" fontId="66" fillId="0" borderId="0" xfId="0" applyNumberFormat="1" applyFont="1" applyFill="1" applyBorder="1" applyAlignment="1">
      <alignment vertical="center"/>
    </xf>
    <xf numFmtId="0" fontId="67" fillId="0" borderId="0" xfId="0" applyFont="1" applyFill="1" applyBorder="1" applyAlignment="1">
      <alignment vertical="center"/>
    </xf>
    <xf numFmtId="178" fontId="66" fillId="0" borderId="0" xfId="0" applyNumberFormat="1" applyFont="1" applyFill="1" applyBorder="1" applyAlignment="1">
      <alignment vertical="center" wrapText="1"/>
    </xf>
    <xf numFmtId="179" fontId="66" fillId="0" borderId="0" xfId="0" applyNumberFormat="1" applyFont="1" applyFill="1" applyBorder="1" applyAlignment="1"/>
    <xf numFmtId="178" fontId="66" fillId="0" borderId="0" xfId="0" applyNumberFormat="1" applyFont="1" applyFill="1" applyBorder="1" applyAlignment="1"/>
    <xf numFmtId="179" fontId="89" fillId="0" borderId="0" xfId="0" applyNumberFormat="1" applyFont="1" applyFill="1" applyBorder="1" applyAlignment="1">
      <alignment vertical="center"/>
    </xf>
    <xf numFmtId="179" fontId="66" fillId="0" borderId="0" xfId="0" applyNumberFormat="1" applyFont="1" applyFill="1" applyBorder="1" applyAlignment="1">
      <alignment horizontal="center" vertical="center"/>
    </xf>
    <xf numFmtId="178" fontId="64" fillId="0" borderId="3" xfId="0" applyNumberFormat="1" applyFont="1" applyFill="1" applyBorder="1" applyAlignment="1">
      <alignment horizontal="right" vertical="center"/>
    </xf>
    <xf numFmtId="178" fontId="79" fillId="0" borderId="3" xfId="0" applyNumberFormat="1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right" vertical="center"/>
    </xf>
    <xf numFmtId="179" fontId="66" fillId="0" borderId="0" xfId="0" applyNumberFormat="1" applyFont="1" applyFill="1" applyBorder="1" applyAlignment="1">
      <alignment horizontal="right" vertical="center"/>
    </xf>
    <xf numFmtId="0" fontId="64" fillId="0" borderId="0" xfId="0" applyFont="1" applyFill="1" applyBorder="1" applyAlignment="1">
      <alignment horizontal="right" vertical="center"/>
    </xf>
    <xf numFmtId="0" fontId="71" fillId="0" borderId="0" xfId="0" applyFont="1" applyFill="1" applyBorder="1" applyAlignment="1">
      <alignment horizontal="right" vertical="center"/>
    </xf>
    <xf numFmtId="0" fontId="71" fillId="0" borderId="0" xfId="0" applyFont="1" applyFill="1" applyBorder="1" applyAlignment="1"/>
    <xf numFmtId="0" fontId="84" fillId="0" borderId="0" xfId="0" applyFont="1" applyFill="1" applyAlignment="1">
      <alignment horizontal="right" vertical="center"/>
    </xf>
    <xf numFmtId="0" fontId="85" fillId="0" borderId="0" xfId="0" applyFont="1" applyFill="1" applyBorder="1" applyAlignment="1">
      <alignment horizontal="left" vertical="center"/>
    </xf>
    <xf numFmtId="0" fontId="84" fillId="0" borderId="3" xfId="0" applyFont="1" applyFill="1" applyBorder="1" applyAlignment="1">
      <alignment horizontal="center" vertical="center"/>
    </xf>
    <xf numFmtId="0" fontId="84" fillId="0" borderId="0" xfId="0" applyFont="1" applyFill="1" applyAlignment="1">
      <alignment vertical="center"/>
    </xf>
    <xf numFmtId="0" fontId="84" fillId="0" borderId="0" xfId="0" applyFont="1" applyFill="1" applyAlignment="1">
      <alignment horizontal="center" vertical="center"/>
    </xf>
    <xf numFmtId="0" fontId="84" fillId="0" borderId="0" xfId="0" applyFont="1" applyFill="1" applyAlignment="1"/>
    <xf numFmtId="178" fontId="90" fillId="0" borderId="3" xfId="0" applyNumberFormat="1" applyFont="1" applyFill="1" applyBorder="1" applyAlignment="1">
      <alignment horizontal="center" vertical="center"/>
    </xf>
    <xf numFmtId="178" fontId="83" fillId="0" borderId="3" xfId="0" applyNumberFormat="1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vertical="top"/>
    </xf>
    <xf numFmtId="0" fontId="67" fillId="0" borderId="3" xfId="0" applyFont="1" applyFill="1" applyBorder="1" applyAlignment="1">
      <alignment horizontal="center" vertical="center" wrapText="1"/>
    </xf>
    <xf numFmtId="0" fontId="63" fillId="0" borderId="3" xfId="0" applyFont="1" applyFill="1" applyBorder="1" applyAlignment="1">
      <alignment horizontal="center" vertical="center"/>
    </xf>
    <xf numFmtId="0" fontId="63" fillId="0" borderId="3" xfId="0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/>
    </xf>
    <xf numFmtId="0" fontId="63" fillId="0" borderId="0" xfId="0" applyFont="1" applyFill="1" applyAlignment="1">
      <alignment horizontal="left" vertical="center"/>
    </xf>
    <xf numFmtId="0" fontId="68" fillId="0" borderId="3" xfId="0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horizontal="left" vertical="center"/>
    </xf>
    <xf numFmtId="0" fontId="64" fillId="0" borderId="3" xfId="0" applyFont="1" applyFill="1" applyBorder="1" applyAlignment="1">
      <alignment horizontal="center" vertical="center"/>
    </xf>
    <xf numFmtId="0" fontId="64" fillId="0" borderId="3" xfId="0" applyFont="1" applyFill="1" applyBorder="1" applyAlignment="1">
      <alignment horizontal="left" vertical="center" wrapText="1"/>
    </xf>
    <xf numFmtId="0" fontId="66" fillId="0" borderId="0" xfId="0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center" vertical="top"/>
    </xf>
    <xf numFmtId="0" fontId="70" fillId="0" borderId="0" xfId="0" applyFont="1" applyFill="1" applyBorder="1" applyAlignment="1">
      <alignment horizontal="center" wrapText="1"/>
    </xf>
    <xf numFmtId="0" fontId="63" fillId="0" borderId="0" xfId="0" applyFont="1" applyFill="1" applyBorder="1" applyAlignment="1">
      <alignment horizontal="center"/>
    </xf>
    <xf numFmtId="0" fontId="63" fillId="0" borderId="0" xfId="0" applyFont="1" applyFill="1" applyAlignment="1">
      <alignment horizontal="center" vertical="center"/>
    </xf>
    <xf numFmtId="0" fontId="63" fillId="0" borderId="0" xfId="0" applyFont="1" applyFill="1" applyBorder="1" applyAlignment="1">
      <alignment horizontal="center" vertical="center"/>
    </xf>
    <xf numFmtId="0" fontId="63" fillId="0" borderId="0" xfId="0" applyFont="1" applyFill="1" applyAlignment="1">
      <alignment horizontal="left" vertical="center"/>
    </xf>
    <xf numFmtId="170" fontId="63" fillId="0" borderId="13" xfId="0" applyNumberFormat="1" applyFont="1" applyFill="1" applyBorder="1" applyAlignment="1">
      <alignment horizontal="center" vertical="center" wrapText="1"/>
    </xf>
    <xf numFmtId="170" fontId="63" fillId="0" borderId="13" xfId="0" quotePrefix="1" applyNumberFormat="1" applyFont="1" applyFill="1" applyBorder="1" applyAlignment="1">
      <alignment horizontal="center" vertical="center" wrapText="1"/>
    </xf>
    <xf numFmtId="0" fontId="68" fillId="0" borderId="3" xfId="0" applyFont="1" applyFill="1" applyBorder="1" applyAlignment="1">
      <alignment horizontal="center" vertical="center"/>
    </xf>
    <xf numFmtId="0" fontId="68" fillId="0" borderId="3" xfId="0" applyFont="1" applyFill="1" applyBorder="1" applyAlignment="1" applyProtection="1">
      <alignment horizontal="center" vertical="center"/>
      <protection locked="0"/>
    </xf>
    <xf numFmtId="0" fontId="63" fillId="0" borderId="3" xfId="0" applyFont="1" applyFill="1" applyBorder="1" applyAlignment="1">
      <alignment horizontal="center" vertical="center" wrapText="1"/>
    </xf>
    <xf numFmtId="0" fontId="63" fillId="0" borderId="3" xfId="0" applyFont="1" applyFill="1" applyBorder="1" applyAlignment="1">
      <alignment horizontal="center" vertical="center"/>
    </xf>
    <xf numFmtId="0" fontId="64" fillId="0" borderId="13" xfId="0" applyFont="1" applyFill="1" applyBorder="1" applyAlignment="1">
      <alignment horizontal="center"/>
    </xf>
    <xf numFmtId="0" fontId="67" fillId="0" borderId="3" xfId="0" applyFont="1" applyFill="1" applyBorder="1" applyAlignment="1">
      <alignment horizontal="center" vertical="center" wrapText="1"/>
    </xf>
    <xf numFmtId="0" fontId="68" fillId="0" borderId="0" xfId="0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horizontal="center" vertical="center" wrapText="1"/>
    </xf>
    <xf numFmtId="0" fontId="68" fillId="0" borderId="3" xfId="0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center"/>
    </xf>
    <xf numFmtId="0" fontId="66" fillId="0" borderId="0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 wrapText="1"/>
    </xf>
    <xf numFmtId="170" fontId="66" fillId="0" borderId="13" xfId="0" applyNumberFormat="1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left" vertical="center"/>
    </xf>
    <xf numFmtId="0" fontId="64" fillId="0" borderId="3" xfId="0" applyFont="1" applyFill="1" applyBorder="1" applyAlignment="1">
      <alignment horizontal="center" vertical="center"/>
    </xf>
    <xf numFmtId="0" fontId="64" fillId="0" borderId="3" xfId="0" applyFont="1" applyFill="1" applyBorder="1" applyAlignment="1">
      <alignment horizontal="left" vertical="center" wrapText="1"/>
    </xf>
    <xf numFmtId="170" fontId="66" fillId="0" borderId="13" xfId="0" applyNumberFormat="1" applyFont="1" applyFill="1" applyBorder="1" applyAlignment="1">
      <alignment horizontal="left" vertical="center" wrapText="1"/>
    </xf>
    <xf numFmtId="0" fontId="66" fillId="0" borderId="0" xfId="0" applyFont="1" applyFill="1" applyBorder="1" applyAlignment="1">
      <alignment horizontal="left" vertical="top"/>
    </xf>
    <xf numFmtId="0" fontId="64" fillId="0" borderId="0" xfId="0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center" vertical="top"/>
    </xf>
    <xf numFmtId="0" fontId="66" fillId="0" borderId="18" xfId="0" applyFont="1" applyFill="1" applyBorder="1" applyAlignment="1">
      <alignment horizontal="center" vertical="center"/>
    </xf>
    <xf numFmtId="3" fontId="64" fillId="0" borderId="15" xfId="0" applyNumberFormat="1" applyFont="1" applyFill="1" applyBorder="1" applyAlignment="1">
      <alignment horizontal="left" vertical="center" wrapText="1"/>
    </xf>
    <xf numFmtId="3" fontId="64" fillId="0" borderId="14" xfId="0" applyNumberFormat="1" applyFont="1" applyFill="1" applyBorder="1" applyAlignment="1">
      <alignment horizontal="left" vertical="center" wrapText="1"/>
    </xf>
    <xf numFmtId="0" fontId="74" fillId="0" borderId="0" xfId="0" applyFont="1" applyFill="1" applyAlignment="1">
      <alignment vertical="center" wrapText="1"/>
    </xf>
    <xf numFmtId="0" fontId="75" fillId="0" borderId="0" xfId="0" applyFont="1" applyFill="1" applyAlignment="1">
      <alignment vertical="center" wrapText="1"/>
    </xf>
    <xf numFmtId="0" fontId="70" fillId="0" borderId="0" xfId="0" applyFont="1" applyFill="1" applyBorder="1" applyAlignment="1">
      <alignment horizontal="center" wrapText="1"/>
    </xf>
    <xf numFmtId="0" fontId="73" fillId="0" borderId="0" xfId="0" applyFont="1" applyFill="1" applyAlignment="1">
      <alignment horizontal="center"/>
    </xf>
    <xf numFmtId="0" fontId="63" fillId="0" borderId="0" xfId="0" applyFont="1" applyFill="1" applyBorder="1" applyAlignment="1">
      <alignment horizontal="center"/>
    </xf>
    <xf numFmtId="0" fontId="63" fillId="0" borderId="0" xfId="0" applyFont="1" applyFill="1" applyAlignment="1">
      <alignment horizontal="center" vertical="center"/>
    </xf>
    <xf numFmtId="0" fontId="67" fillId="0" borderId="0" xfId="0" applyFont="1" applyFill="1" applyBorder="1" applyAlignment="1">
      <alignment horizontal="center" vertical="center"/>
    </xf>
    <xf numFmtId="0" fontId="66" fillId="0" borderId="15" xfId="0" applyFont="1" applyFill="1" applyBorder="1" applyAlignment="1">
      <alignment horizontal="left" vertical="center" wrapText="1"/>
    </xf>
    <xf numFmtId="0" fontId="66" fillId="0" borderId="14" xfId="0" applyFont="1" applyFill="1" applyBorder="1" applyAlignment="1">
      <alignment horizontal="left" vertical="center" wrapText="1"/>
    </xf>
    <xf numFmtId="0" fontId="66" fillId="0" borderId="16" xfId="0" applyFont="1" applyFill="1" applyBorder="1" applyAlignment="1">
      <alignment horizontal="left" vertical="center" wrapText="1"/>
    </xf>
    <xf numFmtId="0" fontId="63" fillId="0" borderId="17" xfId="0" applyFont="1" applyFill="1" applyBorder="1" applyAlignment="1">
      <alignment horizontal="center" vertical="center" wrapText="1"/>
    </xf>
    <xf numFmtId="0" fontId="84" fillId="0" borderId="3" xfId="0" applyFont="1" applyFill="1" applyBorder="1" applyAlignment="1">
      <alignment horizontal="center" vertical="center" wrapText="1"/>
    </xf>
    <xf numFmtId="0" fontId="64" fillId="0" borderId="15" xfId="0" applyFont="1" applyFill="1" applyBorder="1" applyAlignment="1">
      <alignment horizontal="left" vertical="center" wrapText="1"/>
    </xf>
    <xf numFmtId="0" fontId="64" fillId="0" borderId="14" xfId="0" applyFont="1" applyFill="1" applyBorder="1" applyAlignment="1">
      <alignment horizontal="left" vertical="center" wrapText="1"/>
    </xf>
    <xf numFmtId="0" fontId="66" fillId="0" borderId="15" xfId="0" applyFont="1" applyFill="1" applyBorder="1" applyAlignment="1">
      <alignment horizontal="left" vertical="center"/>
    </xf>
    <xf numFmtId="0" fontId="66" fillId="0" borderId="14" xfId="0" applyFont="1" applyFill="1" applyBorder="1" applyAlignment="1">
      <alignment horizontal="left" vertical="center"/>
    </xf>
    <xf numFmtId="0" fontId="66" fillId="0" borderId="16" xfId="0" applyFont="1" applyFill="1" applyBorder="1" applyAlignment="1">
      <alignment horizontal="left" vertical="center"/>
    </xf>
    <xf numFmtId="0" fontId="64" fillId="0" borderId="16" xfId="0" applyFont="1" applyFill="1" applyBorder="1" applyAlignment="1">
      <alignment horizontal="left" vertical="center" wrapText="1"/>
    </xf>
    <xf numFmtId="0" fontId="63" fillId="0" borderId="0" xfId="0" applyFont="1" applyFill="1" applyBorder="1" applyAlignment="1"/>
    <xf numFmtId="0" fontId="63" fillId="0" borderId="18" xfId="0" applyFont="1" applyFill="1" applyBorder="1" applyAlignment="1">
      <alignment horizontal="center" vertical="center"/>
    </xf>
    <xf numFmtId="178" fontId="83" fillId="0" borderId="3" xfId="0" applyNumberFormat="1" applyFont="1" applyFill="1" applyBorder="1" applyAlignment="1">
      <alignment vertical="center"/>
    </xf>
    <xf numFmtId="178" fontId="82" fillId="0" borderId="3" xfId="0" applyNumberFormat="1" applyFont="1" applyFill="1" applyBorder="1" applyAlignment="1">
      <alignment vertical="center"/>
    </xf>
    <xf numFmtId="0" fontId="66" fillId="0" borderId="3" xfId="0" applyFont="1" applyFill="1" applyBorder="1" applyAlignment="1">
      <alignment vertical="center" wrapText="1"/>
    </xf>
    <xf numFmtId="0" fontId="66" fillId="0" borderId="15" xfId="0" applyFont="1" applyFill="1" applyBorder="1" applyAlignment="1">
      <alignment vertical="center"/>
    </xf>
    <xf numFmtId="0" fontId="66" fillId="0" borderId="15" xfId="0" applyFont="1" applyFill="1" applyBorder="1" applyAlignment="1">
      <alignment vertical="center" wrapText="1"/>
    </xf>
    <xf numFmtId="0" fontId="66" fillId="0" borderId="0" xfId="0" applyFont="1" applyFill="1" applyAlignment="1">
      <alignment vertical="center"/>
    </xf>
    <xf numFmtId="0" fontId="79" fillId="0" borderId="3" xfId="355" applyFont="1" applyFill="1" applyBorder="1" applyAlignment="1">
      <alignment vertical="center" wrapText="1"/>
    </xf>
    <xf numFmtId="0" fontId="79" fillId="0" borderId="15" xfId="0" applyFont="1" applyFill="1" applyBorder="1" applyAlignment="1">
      <alignment horizontal="left" vertical="center" wrapText="1"/>
    </xf>
    <xf numFmtId="0" fontId="79" fillId="0" borderId="15" xfId="0" applyFont="1" applyFill="1" applyBorder="1" applyAlignment="1">
      <alignment vertical="center" wrapText="1"/>
    </xf>
    <xf numFmtId="0" fontId="79" fillId="0" borderId="15" xfId="0" applyFont="1" applyFill="1" applyBorder="1" applyAlignment="1">
      <alignment vertical="center"/>
    </xf>
    <xf numFmtId="0" fontId="79" fillId="0" borderId="3" xfId="0" applyFont="1" applyFill="1" applyBorder="1" applyAlignment="1">
      <alignment vertical="center"/>
    </xf>
    <xf numFmtId="178" fontId="80" fillId="0" borderId="3" xfId="0" applyNumberFormat="1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horizontal="left" vertical="center"/>
    </xf>
    <xf numFmtId="0" fontId="79" fillId="0" borderId="13" xfId="0" applyFont="1" applyFill="1" applyBorder="1" applyAlignment="1">
      <alignment horizontal="left" vertical="center"/>
    </xf>
    <xf numFmtId="0" fontId="64" fillId="0" borderId="3" xfId="0" applyFont="1" applyFill="1" applyBorder="1" applyAlignment="1">
      <alignment horizontal="left" vertical="center"/>
    </xf>
    <xf numFmtId="0" fontId="64" fillId="0" borderId="3" xfId="0" applyFont="1" applyFill="1" applyBorder="1" applyAlignment="1">
      <alignment horizontal="center" vertical="center" wrapText="1"/>
    </xf>
    <xf numFmtId="178" fontId="77" fillId="0" borderId="3" xfId="0" applyNumberFormat="1" applyFont="1" applyFill="1" applyBorder="1" applyAlignment="1">
      <alignment horizontal="center" vertical="center" wrapText="1"/>
    </xf>
  </cellXfs>
  <cellStyles count="356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Гиперссылка" xfId="355" builtinId="8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Звичайний 2" xfId="353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19" xfId="354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Лист2"/>
      <sheetName val="ПЛАН ЗАКУПІВЕЛЬ 2018"/>
      <sheetName val="Аркуш2"/>
      <sheetName val="MPPZ"/>
      <sheetName val="адмін_(2)"/>
      <sheetName val="9m"/>
      <sheetName val="Лист3"/>
      <sheetName val="TDSheet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зведена_таб"/>
      <sheetName val="попер_роз_(4)"/>
      <sheetName val="звед_оптим_(2)"/>
      <sheetName val="2002"/>
      <sheetName val="2001"/>
      <sheetName val="Ener "/>
      <sheetName val="МТР_Газ_України"/>
      <sheetName val="Current"/>
      <sheetName val="прим. IX. Деб. заб."/>
      <sheetName val="Test"/>
      <sheetName val="statiy"/>
      <sheetName val="pidr"/>
      <sheetName val="Techni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попер_роз"/>
      <sheetName val="база  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  <sheetName val="база  "/>
      <sheetName val="Links"/>
      <sheetName val="Lead"/>
      <sheetName val="МТР_Газ_України"/>
      <sheetName val="МТР_все_2"/>
      <sheetName val="P_SC"/>
      <sheetName val="XLR_NoRangeSheet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МТР_Газ_України"/>
      <sheetName val="Допущения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  <sheetName val="Inform"/>
      <sheetName val="7  Інші витрати"/>
      <sheetName val="МТР_Газ_України"/>
      <sheetName val="Assumptions and Input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BGVN1"/>
      <sheetName val="Technical"/>
      <sheetName val="БАЗА  "/>
      <sheetName val="МТР Газ України"/>
      <sheetName val="Daten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  <sheetName val="Ener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МТР все - 5"/>
      <sheetName val="Лист1"/>
      <sheetName val="Internal Data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 refreshError="1"/>
      <sheetData sheetId="3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gdp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  <sheetName val="база  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  <sheetName val="Inform"/>
      <sheetName val="база  "/>
      <sheetName val="МТР_Газ_України"/>
      <sheetName val="assumptions and inputs"/>
      <sheetName val="Cash Flows"/>
      <sheetName val="Terminal Value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  <sheetName val="попер_роз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  <sheetName val="gdp"/>
      <sheetName val="1993"/>
      <sheetName val="Додаток 3"/>
      <sheetName val="Ener_"/>
      <sheetName val="Бюдж. баланс "/>
      <sheetName val="параметри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/>
      <sheetData sheetId="29"/>
      <sheetData sheetId="3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Ener "/>
      <sheetName val="Припущення"/>
      <sheetName val="МТР_Газ_України"/>
      <sheetName val="Осн. фін. пок. 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 refreshError="1"/>
      <sheetData sheetId="2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  <sheetName val="BGVN1"/>
      <sheetName val="д17-1"/>
      <sheetName val="БАЗА__"/>
      <sheetName val="Лист1"/>
      <sheetName val="півріч"/>
      <sheetName val="КурсВалют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Правила ДДС"/>
      <sheetName val="7  інші витрати"/>
      <sheetName val="п"/>
      <sheetName val="1993"/>
      <sheetName val="Assumptions and Inputs"/>
      <sheetName val="Лист1"/>
      <sheetName val="consolidation hq formatted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f-20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  <sheetName val="7  Інші витрати"/>
      <sheetName val="попер_роз"/>
      <sheetName val="скрыть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  <sheetName val="gdp"/>
      <sheetName val="до викупа"/>
      <sheetName val="Лист1"/>
      <sheetName val="банк"/>
      <sheetName val="дез"/>
      <sheetName val="связь"/>
      <sheetName val="компод"/>
      <sheetName val="пож"/>
      <sheetName val="проезд"/>
      <sheetName val="страх"/>
      <sheetName val="Розш. ел. витрат за 9 місяців"/>
      <sheetName val="Рокада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Ener "/>
      <sheetName val="додаток 1"/>
      <sheetName val="база  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  <sheetName val="7  інші витрати"/>
      <sheetName val="МТР Газ України"/>
      <sheetName val="Note2 to do "/>
      <sheetName val="4сд"/>
      <sheetName val="2сд"/>
      <sheetName val="7сд"/>
      <sheetName val="1993"/>
      <sheetName val="Лист2"/>
      <sheetName val="припущення"/>
      <sheetName val="т17мб(шаблон)"/>
      <sheetName val="реестр_заявок1"/>
      <sheetName val="Set"/>
      <sheetName val="додаток  3"/>
      <sheetName val="mt bk"/>
      <sheetName val="Ener "/>
      <sheetName val="рэс п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  <sheetName val="Inform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  <sheetName val="7  інші витрат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  <sheetName val="7  інші витрати"/>
      <sheetName val="Ener "/>
      <sheetName val="gdp"/>
      <sheetName val="assumption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  <sheetName val="7  інші витрати"/>
      <sheetName val="gdp"/>
      <sheetName val="Assumption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  <sheetName val="7  інші витрати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_Структура по елементах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dzo.com.ua/tenders/20078403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R251"/>
  <sheetViews>
    <sheetView tabSelected="1" view="pageBreakPreview" zoomScale="80" zoomScaleNormal="75" zoomScaleSheetLayoutView="80" workbookViewId="0">
      <selection activeCell="M7" sqref="M7"/>
    </sheetView>
  </sheetViews>
  <sheetFormatPr defaultRowHeight="20.25"/>
  <cols>
    <col min="1" max="1" width="65.42578125" style="105" customWidth="1"/>
    <col min="2" max="2" width="17.28515625" style="193" customWidth="1"/>
    <col min="3" max="4" width="18" style="193" customWidth="1"/>
    <col min="5" max="5" width="18.7109375" style="105" customWidth="1"/>
    <col min="6" max="6" width="19" style="105" customWidth="1"/>
    <col min="7" max="7" width="18.7109375" style="105" customWidth="1"/>
    <col min="8" max="8" width="19.7109375" style="105" customWidth="1"/>
    <col min="9" max="9" width="22.85546875" style="105" customWidth="1"/>
    <col min="10" max="10" width="18.85546875" style="105" customWidth="1"/>
    <col min="11" max="11" width="17.42578125" style="105" customWidth="1"/>
    <col min="12" max="12" width="13.85546875" style="105" customWidth="1"/>
    <col min="13" max="13" width="17" style="105" customWidth="1"/>
    <col min="14" max="16" width="9.140625" style="105"/>
    <col min="17" max="17" width="11.42578125" style="105" bestFit="1" customWidth="1"/>
    <col min="18" max="18" width="18.5703125" style="105" customWidth="1"/>
    <col min="19" max="16384" width="9.140625" style="105"/>
  </cols>
  <sheetData>
    <row r="1" spans="1:10" ht="111" customHeight="1">
      <c r="A1" s="216" t="s">
        <v>327</v>
      </c>
      <c r="B1" s="215"/>
      <c r="C1" s="215"/>
      <c r="D1" s="215"/>
      <c r="E1" s="215"/>
      <c r="F1" s="215"/>
      <c r="G1" s="215"/>
      <c r="H1" s="215"/>
    </row>
    <row r="2" spans="1:10" ht="30" customHeight="1">
      <c r="A2" s="215" t="s">
        <v>18</v>
      </c>
      <c r="B2" s="215"/>
      <c r="C2" s="215"/>
      <c r="D2" s="215"/>
      <c r="E2" s="215"/>
      <c r="F2" s="215"/>
      <c r="G2" s="215"/>
      <c r="H2" s="215"/>
    </row>
    <row r="3" spans="1:10" ht="23.25" customHeight="1">
      <c r="B3" s="194"/>
      <c r="C3" s="204"/>
      <c r="D3" s="194"/>
      <c r="E3" s="194"/>
      <c r="F3" s="194"/>
      <c r="G3" s="194"/>
      <c r="H3" s="116" t="s">
        <v>57</v>
      </c>
    </row>
    <row r="4" spans="1:10" ht="75.75" customHeight="1">
      <c r="A4" s="212" t="s">
        <v>23</v>
      </c>
      <c r="B4" s="211" t="s">
        <v>5</v>
      </c>
      <c r="C4" s="211" t="s">
        <v>121</v>
      </c>
      <c r="D4" s="211"/>
      <c r="E4" s="212" t="s">
        <v>328</v>
      </c>
      <c r="F4" s="212"/>
      <c r="G4" s="212"/>
      <c r="H4" s="212"/>
    </row>
    <row r="5" spans="1:10" ht="47.25" customHeight="1">
      <c r="A5" s="212"/>
      <c r="B5" s="211"/>
      <c r="C5" s="192" t="s">
        <v>288</v>
      </c>
      <c r="D5" s="192" t="s">
        <v>334</v>
      </c>
      <c r="E5" s="117" t="s">
        <v>107</v>
      </c>
      <c r="F5" s="117" t="s">
        <v>108</v>
      </c>
      <c r="G5" s="117" t="s">
        <v>109</v>
      </c>
      <c r="H5" s="117" t="s">
        <v>110</v>
      </c>
    </row>
    <row r="6" spans="1:10" ht="29.25" customHeight="1">
      <c r="A6" s="191">
        <v>1</v>
      </c>
      <c r="B6" s="192">
        <v>2</v>
      </c>
      <c r="C6" s="192">
        <v>3</v>
      </c>
      <c r="D6" s="192">
        <v>5</v>
      </c>
      <c r="E6" s="192">
        <v>7</v>
      </c>
      <c r="F6" s="192">
        <v>8</v>
      </c>
      <c r="G6" s="192">
        <v>9</v>
      </c>
      <c r="H6" s="192">
        <v>10</v>
      </c>
    </row>
    <row r="7" spans="1:10" ht="33" customHeight="1">
      <c r="A7" s="217" t="s">
        <v>98</v>
      </c>
      <c r="B7" s="217"/>
      <c r="C7" s="217"/>
      <c r="D7" s="217"/>
      <c r="E7" s="217"/>
      <c r="F7" s="217"/>
      <c r="G7" s="217"/>
      <c r="H7" s="217"/>
    </row>
    <row r="8" spans="1:10" ht="48.75" customHeight="1">
      <c r="A8" s="118" t="s">
        <v>122</v>
      </c>
      <c r="B8" s="119">
        <v>1000</v>
      </c>
      <c r="C8" s="93">
        <f>'Розшифровка 1 до Формування'!D7</f>
        <v>35288</v>
      </c>
      <c r="D8" s="93">
        <f>F8</f>
        <v>37596.200000000004</v>
      </c>
      <c r="E8" s="93">
        <f>'Розшифровка 1 до Формування'!E7</f>
        <v>40585</v>
      </c>
      <c r="F8" s="93">
        <f>'Розшифровка 1 до Формування'!F7</f>
        <v>37596.200000000004</v>
      </c>
      <c r="G8" s="93">
        <f>F8-E8</f>
        <v>-2988.7999999999956</v>
      </c>
      <c r="H8" s="93">
        <f>(F8/E8)*100</f>
        <v>92.635702845879024</v>
      </c>
      <c r="J8" s="120"/>
    </row>
    <row r="9" spans="1:10" ht="47.25" customHeight="1">
      <c r="A9" s="118" t="s">
        <v>67</v>
      </c>
      <c r="B9" s="119">
        <v>1010</v>
      </c>
      <c r="C9" s="93">
        <f>SUM(C10:C14)</f>
        <v>-39275.4</v>
      </c>
      <c r="D9" s="93">
        <f>SUM(D10:D14)</f>
        <v>-43657.19999999999</v>
      </c>
      <c r="E9" s="93">
        <f>SUM(E10:E14)</f>
        <v>-45455.7</v>
      </c>
      <c r="F9" s="93">
        <f t="shared" ref="F9:F43" si="0">D9</f>
        <v>-43657.19999999999</v>
      </c>
      <c r="G9" s="93">
        <f t="shared" ref="G9:G43" si="1">F9-E9</f>
        <v>1798.5000000000073</v>
      </c>
      <c r="H9" s="93">
        <f t="shared" ref="H9:H43" si="2">(F9/E9)*100</f>
        <v>96.043400497627346</v>
      </c>
      <c r="J9" s="120"/>
    </row>
    <row r="10" spans="1:10" ht="30" customHeight="1">
      <c r="A10" s="121" t="s">
        <v>68</v>
      </c>
      <c r="B10" s="191">
        <v>1011</v>
      </c>
      <c r="C10" s="122">
        <f>-('Розшифровка 2 до формування'!D10+'Розшифровка 2 до формування'!D50+'Розшифровка 2 до формування'!D95+'Розшифровка 2 до формування'!D115+'Розшифровка 2 до формування'!D133+'Розшифровка 2 до формування'!D164+'Розшифровка 2 до формування'!D181+'Розшифровка 2 до формування'!D187)</f>
        <v>-8323.7999999999993</v>
      </c>
      <c r="D10" s="122">
        <f>F10</f>
        <v>-8056.1999999999989</v>
      </c>
      <c r="E10" s="122">
        <f>-('Розшифровка 2 до формування'!E10+'Розшифровка 2 до формування'!E50+'Розшифровка 2 до формування'!E95+'Розшифровка 2 до формування'!E115+'Розшифровка 2 до формування'!E133+'Розшифровка 2 до формування'!E164+'Розшифровка 2 до формування'!E181+'Розшифровка 2 до формування'!E187)</f>
        <v>-6226</v>
      </c>
      <c r="F10" s="93">
        <f>-('Розшифровка 2 до формування'!F10+'Розшифровка 2 до формування'!F50+'Розшифровка 2 до формування'!F95+'Розшифровка 2 до формування'!F115+'Розшифровка 2 до формування'!F133+'Розшифровка 2 до формування'!F164+'Розшифровка 2 до формування'!F181+'Розшифровка 2 до формування'!F187)</f>
        <v>-8056.1999999999989</v>
      </c>
      <c r="G10" s="122">
        <f t="shared" si="1"/>
        <v>-1830.1999999999989</v>
      </c>
      <c r="H10" s="122">
        <f t="shared" si="2"/>
        <v>129.39608095085126</v>
      </c>
      <c r="J10" s="120"/>
    </row>
    <row r="11" spans="1:10" ht="28.5" customHeight="1">
      <c r="A11" s="121" t="s">
        <v>2</v>
      </c>
      <c r="B11" s="191">
        <v>1012</v>
      </c>
      <c r="C11" s="122">
        <f>-('Розшифровка 2 до формування'!D16+'Розшифровка 2 до формування'!D56)</f>
        <v>-20505.100000000002</v>
      </c>
      <c r="D11" s="122">
        <f t="shared" ref="D11:D14" si="3">F11</f>
        <v>-22094.399999999998</v>
      </c>
      <c r="E11" s="122">
        <f>-('Розшифровка 2 до формування'!E16+'Розшифровка 2 до формування'!E56)</f>
        <v>-23793.1</v>
      </c>
      <c r="F11" s="93">
        <f>-('Розшифровка 2 до формування'!F16+'Розшифровка 2 до формування'!F56)</f>
        <v>-22094.399999999998</v>
      </c>
      <c r="G11" s="122">
        <f t="shared" si="1"/>
        <v>1698.7000000000007</v>
      </c>
      <c r="H11" s="122">
        <f t="shared" si="2"/>
        <v>92.860535197179004</v>
      </c>
      <c r="J11" s="120"/>
    </row>
    <row r="12" spans="1:10" ht="29.25" customHeight="1">
      <c r="A12" s="121" t="s">
        <v>3</v>
      </c>
      <c r="B12" s="191">
        <v>1013</v>
      </c>
      <c r="C12" s="122">
        <f>-('Розшифровка 2 до формування'!D17+'Розшифровка 2 до формування'!D57)</f>
        <v>-4282.8999999999996</v>
      </c>
      <c r="D12" s="122">
        <f t="shared" si="3"/>
        <v>-4587.2999999999993</v>
      </c>
      <c r="E12" s="122">
        <f>-('Розшифровка 2 до формування'!E17+'Розшифровка 2 до формування'!E57)</f>
        <v>-5471.8</v>
      </c>
      <c r="F12" s="93">
        <f>-('Розшифровка 2 до формування'!F17+'Розшифровка 2 до формування'!F57)</f>
        <v>-4587.2999999999993</v>
      </c>
      <c r="G12" s="122">
        <f t="shared" si="1"/>
        <v>884.50000000000091</v>
      </c>
      <c r="H12" s="122">
        <f t="shared" si="2"/>
        <v>83.835300997843476</v>
      </c>
      <c r="J12" s="120"/>
    </row>
    <row r="13" spans="1:10" ht="29.25" customHeight="1">
      <c r="A13" s="121" t="s">
        <v>4</v>
      </c>
      <c r="B13" s="191">
        <v>1014</v>
      </c>
      <c r="C13" s="122">
        <f>-('Розшифровка 2 до формування'!D18+'Розшифровка 2 до формування'!D58+'Розшифровка 2 до формування'!D190+'Розшифровка 2 до формування'!D211)</f>
        <v>-1727.2</v>
      </c>
      <c r="D13" s="122">
        <f t="shared" si="3"/>
        <v>-1751.1000000000001</v>
      </c>
      <c r="E13" s="122">
        <f>-('Розшифровка 2 до формування'!E18+'Розшифровка 2 до формування'!E58+'Розшифровка 2 до формування'!E190+'Розшифровка 2 до формування'!E211)</f>
        <v>-2274</v>
      </c>
      <c r="F13" s="93">
        <f>-('Розшифровка 2 до формування'!F18+'Розшифровка 2 до формування'!F58+'Розшифровка 2 до формування'!F190+'Розшифровка 2 до формування'!F211)</f>
        <v>-1751.1000000000001</v>
      </c>
      <c r="G13" s="123">
        <f t="shared" si="1"/>
        <v>522.89999999999986</v>
      </c>
      <c r="H13" s="123">
        <f t="shared" si="2"/>
        <v>77.005277044854893</v>
      </c>
      <c r="J13" s="120"/>
    </row>
    <row r="14" spans="1:10" ht="30" customHeight="1">
      <c r="A14" s="121" t="s">
        <v>50</v>
      </c>
      <c r="B14" s="191">
        <v>1015</v>
      </c>
      <c r="C14" s="122">
        <f>-('Розшифровка 2 до формування'!D19+'Розшифровка 2 до формування'!D59+'Розшифровка 2 до формування'!D98+'Розшифровка 2 до формування'!D118+'Розшифровка 2 до формування'!D147+'Розшифровка 2 до формування'!D170+'Розшифровка 2 до формування'!D191)</f>
        <v>-4436.4000000000005</v>
      </c>
      <c r="D14" s="122">
        <f t="shared" si="3"/>
        <v>-7168.1999999999989</v>
      </c>
      <c r="E14" s="122">
        <f>-('Розшифровка 2 до формування'!E19+'Розшифровка 2 до формування'!E59+'Розшифровка 2 до формування'!E98+'Розшифровка 2 до формування'!E118+'Розшифровка 2 до формування'!E147+'Розшифровка 2 до формування'!E170+'Розшифровка 2 до формування'!E191)</f>
        <v>-7690.7999999999993</v>
      </c>
      <c r="F14" s="93">
        <f>-('Розшифровка 2 до формування'!F19+'Розшифровка 2 до формування'!F59+'Розшифровка 2 до формування'!F98+'Розшифровка 2 до формування'!F118+'Розшифровка 2 до формування'!F147+'Розшифровка 2 до формування'!F170+'Розшифровка 2 до формування'!F191)</f>
        <v>-7168.1999999999989</v>
      </c>
      <c r="G14" s="122">
        <f t="shared" si="1"/>
        <v>522.60000000000036</v>
      </c>
      <c r="H14" s="122">
        <f t="shared" si="2"/>
        <v>93.204868154158206</v>
      </c>
      <c r="J14" s="120"/>
    </row>
    <row r="15" spans="1:10" ht="28.5" customHeight="1">
      <c r="A15" s="118" t="s">
        <v>25</v>
      </c>
      <c r="B15" s="191">
        <v>1020</v>
      </c>
      <c r="C15" s="93">
        <f>SUM(C8:C9)</f>
        <v>-3987.4000000000015</v>
      </c>
      <c r="D15" s="93">
        <f>SUM(D8:D9)</f>
        <v>-6060.9999999999854</v>
      </c>
      <c r="E15" s="93">
        <f>SUM(E8:E9)</f>
        <v>-4870.6999999999971</v>
      </c>
      <c r="F15" s="93">
        <f t="shared" si="0"/>
        <v>-6060.9999999999854</v>
      </c>
      <c r="G15" s="93">
        <f t="shared" si="1"/>
        <v>-1190.2999999999884</v>
      </c>
      <c r="H15" s="93">
        <f t="shared" si="2"/>
        <v>124.43796579547066</v>
      </c>
    </row>
    <row r="16" spans="1:10" ht="42" customHeight="1">
      <c r="A16" s="118" t="s">
        <v>89</v>
      </c>
      <c r="B16" s="119">
        <v>1020</v>
      </c>
      <c r="C16" s="93">
        <f>SUM(C17:C21)</f>
        <v>-2084.1</v>
      </c>
      <c r="D16" s="93">
        <f>SUM(D17:D21)</f>
        <v>-3529.4</v>
      </c>
      <c r="E16" s="93">
        <f>SUM(E17:E21)</f>
        <v>-3350.9999999999995</v>
      </c>
      <c r="F16" s="93">
        <f t="shared" si="0"/>
        <v>-3529.4</v>
      </c>
      <c r="G16" s="93">
        <f t="shared" si="1"/>
        <v>-178.40000000000055</v>
      </c>
      <c r="H16" s="93">
        <f t="shared" si="2"/>
        <v>105.32378394509104</v>
      </c>
    </row>
    <row r="17" spans="1:8" ht="27.75" customHeight="1">
      <c r="A17" s="121" t="s">
        <v>68</v>
      </c>
      <c r="B17" s="191">
        <v>1021</v>
      </c>
      <c r="C17" s="122"/>
      <c r="D17" s="122"/>
      <c r="E17" s="122"/>
      <c r="F17" s="93">
        <f t="shared" si="0"/>
        <v>0</v>
      </c>
      <c r="G17" s="122">
        <f t="shared" si="1"/>
        <v>0</v>
      </c>
      <c r="H17" s="122" t="e">
        <f t="shared" si="2"/>
        <v>#DIV/0!</v>
      </c>
    </row>
    <row r="18" spans="1:8" ht="27.75" customHeight="1">
      <c r="A18" s="121" t="s">
        <v>2</v>
      </c>
      <c r="B18" s="191">
        <v>1022</v>
      </c>
      <c r="C18" s="122">
        <f>-('Розшифровка 2 до формування'!D36)</f>
        <v>-1315.7</v>
      </c>
      <c r="D18" s="122">
        <f>F18</f>
        <v>-1886.4</v>
      </c>
      <c r="E18" s="122">
        <f>-('Розшифровка 2 до формування'!E36)</f>
        <v>-2051.6</v>
      </c>
      <c r="F18" s="93">
        <f>-('Розшифровка 2 до формування'!F36)</f>
        <v>-1886.4</v>
      </c>
      <c r="G18" s="122">
        <f t="shared" si="1"/>
        <v>165.19999999999982</v>
      </c>
      <c r="H18" s="122">
        <f t="shared" si="2"/>
        <v>91.947748099044659</v>
      </c>
    </row>
    <row r="19" spans="1:8" ht="27.75" customHeight="1">
      <c r="A19" s="121" t="s">
        <v>3</v>
      </c>
      <c r="B19" s="191">
        <v>1023</v>
      </c>
      <c r="C19" s="122">
        <f>-('Розшифровка 2 до формування'!D37)</f>
        <v>-260.8</v>
      </c>
      <c r="D19" s="122">
        <f t="shared" ref="D19:D21" si="4">F19</f>
        <v>-400</v>
      </c>
      <c r="E19" s="122">
        <f>-('Розшифровка 2 до формування'!E37)</f>
        <v>-471.7</v>
      </c>
      <c r="F19" s="93">
        <f>-('Розшифровка 2 до формування'!F37)</f>
        <v>-400</v>
      </c>
      <c r="G19" s="122">
        <f t="shared" si="1"/>
        <v>71.699999999999989</v>
      </c>
      <c r="H19" s="122">
        <f t="shared" si="2"/>
        <v>84.799660801356808</v>
      </c>
    </row>
    <row r="20" spans="1:8" ht="27.75" customHeight="1">
      <c r="A20" s="121" t="s">
        <v>4</v>
      </c>
      <c r="B20" s="191">
        <v>1024</v>
      </c>
      <c r="C20" s="122">
        <f>-('Розшифровка 2 до формування'!D214)</f>
        <v>-293.89999999999998</v>
      </c>
      <c r="D20" s="122">
        <f t="shared" si="4"/>
        <v>-920.1</v>
      </c>
      <c r="E20" s="122">
        <f>-('Розшифровка 2 до формування'!E214)</f>
        <v>-476</v>
      </c>
      <c r="F20" s="93">
        <f>-('Розшифровка 2 до формування'!F214)</f>
        <v>-920.1</v>
      </c>
      <c r="G20" s="123">
        <f t="shared" si="1"/>
        <v>-444.1</v>
      </c>
      <c r="H20" s="123">
        <f t="shared" si="2"/>
        <v>193.29831932773109</v>
      </c>
    </row>
    <row r="21" spans="1:8" ht="27.75" customHeight="1">
      <c r="A21" s="121" t="s">
        <v>69</v>
      </c>
      <c r="B21" s="191">
        <v>1025</v>
      </c>
      <c r="C21" s="122">
        <f>-('Розшифровка 2 до формування'!D38+'Розшифровка 2 до формування'!D76+'Розшифровка 2 до формування'!D106+'Розшифровка 2 до формування'!D125+'Розшифровка 2 до формування'!D153+'Розшифровка 2 до формування'!D198)</f>
        <v>-213.7</v>
      </c>
      <c r="D21" s="122">
        <f t="shared" si="4"/>
        <v>-322.89999999999992</v>
      </c>
      <c r="E21" s="122">
        <f>-('Розшифровка 2 до формування'!E38+'Розшифровка 2 до формування'!E76+'Розшифровка 2 до формування'!E106+'Розшифровка 2 до формування'!E125+'Розшифровка 2 до формування'!E153+'Розшифровка 2 до формування'!E198)</f>
        <v>-351.7</v>
      </c>
      <c r="F21" s="93">
        <f>-('Розшифровка 2 до формування'!F38+'Розшифровка 2 до формування'!F76+'Розшифровка 2 до формування'!F106+'Розшифровка 2 до формування'!F125+'Розшифровка 2 до формування'!F153+'Розшифровка 2 до формування'!F198)</f>
        <v>-322.89999999999992</v>
      </c>
      <c r="G21" s="122">
        <f t="shared" si="1"/>
        <v>28.800000000000068</v>
      </c>
      <c r="H21" s="122">
        <f t="shared" si="2"/>
        <v>91.811202729599074</v>
      </c>
    </row>
    <row r="22" spans="1:8" ht="38.25" customHeight="1">
      <c r="A22" s="118" t="s">
        <v>35</v>
      </c>
      <c r="B22" s="119">
        <v>1040</v>
      </c>
      <c r="C22" s="93">
        <f>SUM(C23:C24)</f>
        <v>7026.8</v>
      </c>
      <c r="D22" s="93">
        <f>SUM(D23:D24)</f>
        <v>8887.9</v>
      </c>
      <c r="E22" s="93">
        <f>SUM(E23:E24)</f>
        <v>5207.4000000000005</v>
      </c>
      <c r="F22" s="93">
        <f t="shared" si="0"/>
        <v>8887.9</v>
      </c>
      <c r="G22" s="93">
        <f t="shared" si="1"/>
        <v>3680.4999999999991</v>
      </c>
      <c r="H22" s="93">
        <f t="shared" si="2"/>
        <v>170.6782655451857</v>
      </c>
    </row>
    <row r="23" spans="1:8" ht="30.75" customHeight="1">
      <c r="A23" s="121" t="s">
        <v>36</v>
      </c>
      <c r="B23" s="191">
        <v>1041</v>
      </c>
      <c r="C23" s="122"/>
      <c r="D23" s="122"/>
      <c r="E23" s="122"/>
      <c r="F23" s="93">
        <f t="shared" si="0"/>
        <v>0</v>
      </c>
      <c r="G23" s="122">
        <f t="shared" si="1"/>
        <v>0</v>
      </c>
      <c r="H23" s="123" t="e">
        <f t="shared" si="2"/>
        <v>#DIV/0!</v>
      </c>
    </row>
    <row r="24" spans="1:8" ht="27.75" customHeight="1">
      <c r="A24" s="121" t="s">
        <v>37</v>
      </c>
      <c r="B24" s="191">
        <v>1042</v>
      </c>
      <c r="C24" s="122">
        <f>'Розшифровка 1 до Формування'!D10</f>
        <v>7026.8</v>
      </c>
      <c r="D24" s="122">
        <f>F24</f>
        <v>8887.9</v>
      </c>
      <c r="E24" s="122">
        <f>'Розшифровка 1 до Формування'!E10</f>
        <v>5207.4000000000005</v>
      </c>
      <c r="F24" s="93">
        <f>'Розшифровка 1 до Формування'!F10</f>
        <v>8887.9</v>
      </c>
      <c r="G24" s="122">
        <f t="shared" si="1"/>
        <v>3680.4999999999991</v>
      </c>
      <c r="H24" s="122">
        <f t="shared" si="2"/>
        <v>170.6782655451857</v>
      </c>
    </row>
    <row r="25" spans="1:8" ht="42.75" customHeight="1">
      <c r="A25" s="118" t="s">
        <v>12</v>
      </c>
      <c r="B25" s="119">
        <v>1030</v>
      </c>
      <c r="C25" s="93">
        <f>SUM(C26:C30)</f>
        <v>-537.80000000000007</v>
      </c>
      <c r="D25" s="93">
        <f>SUM(D26:D30)</f>
        <v>-502.29999999999995</v>
      </c>
      <c r="E25" s="93">
        <f>SUM(E26:E30)</f>
        <v>-140.70000000000002</v>
      </c>
      <c r="F25" s="93">
        <f t="shared" si="0"/>
        <v>-502.29999999999995</v>
      </c>
      <c r="G25" s="93">
        <f t="shared" si="1"/>
        <v>-361.59999999999991</v>
      </c>
      <c r="H25" s="93">
        <f t="shared" si="2"/>
        <v>357.00071073205396</v>
      </c>
    </row>
    <row r="26" spans="1:8" ht="27.75" customHeight="1">
      <c r="A26" s="121" t="s">
        <v>68</v>
      </c>
      <c r="B26" s="191">
        <v>1031</v>
      </c>
      <c r="C26" s="122"/>
      <c r="D26" s="122">
        <v>0</v>
      </c>
      <c r="E26" s="122"/>
      <c r="F26" s="93">
        <f t="shared" si="0"/>
        <v>0</v>
      </c>
      <c r="G26" s="123">
        <f t="shared" si="1"/>
        <v>0</v>
      </c>
      <c r="H26" s="123" t="e">
        <f t="shared" si="2"/>
        <v>#DIV/0!</v>
      </c>
    </row>
    <row r="27" spans="1:8" ht="27.75" customHeight="1">
      <c r="A27" s="121" t="s">
        <v>2</v>
      </c>
      <c r="B27" s="191">
        <v>1032</v>
      </c>
      <c r="C27" s="122">
        <f>-('Розшифровка 2 до формування'!D43)</f>
        <v>-360.6</v>
      </c>
      <c r="D27" s="122">
        <f>F27</f>
        <v>-260.89999999999998</v>
      </c>
      <c r="E27" s="122">
        <f>-('Розшифровка 2 до формування'!E43)</f>
        <v>0</v>
      </c>
      <c r="F27" s="93">
        <f>-('Розшифровка 2 до формування'!F43)</f>
        <v>-260.89999999999998</v>
      </c>
      <c r="G27" s="123">
        <f t="shared" si="1"/>
        <v>-260.89999999999998</v>
      </c>
      <c r="H27" s="123" t="e">
        <f t="shared" si="2"/>
        <v>#DIV/0!</v>
      </c>
    </row>
    <row r="28" spans="1:8" ht="27.75" customHeight="1">
      <c r="A28" s="121" t="s">
        <v>3</v>
      </c>
      <c r="B28" s="191">
        <v>1033</v>
      </c>
      <c r="C28" s="122">
        <f>-('Розшифровка 2 до формування'!D44)</f>
        <v>-120</v>
      </c>
      <c r="D28" s="122">
        <f>F28</f>
        <v>-114.2</v>
      </c>
      <c r="E28" s="122">
        <f>-('Розшифровка 2 до формування'!E44)</f>
        <v>0</v>
      </c>
      <c r="F28" s="93">
        <f>-('Розшифровка 2 до формування'!F44)</f>
        <v>-114.2</v>
      </c>
      <c r="G28" s="123">
        <f t="shared" si="1"/>
        <v>-114.2</v>
      </c>
      <c r="H28" s="123" t="e">
        <f t="shared" si="2"/>
        <v>#DIV/0!</v>
      </c>
    </row>
    <row r="29" spans="1:8" ht="27.75" customHeight="1">
      <c r="A29" s="121" t="s">
        <v>4</v>
      </c>
      <c r="B29" s="191">
        <v>1034</v>
      </c>
      <c r="C29" s="122"/>
      <c r="D29" s="122"/>
      <c r="E29" s="122"/>
      <c r="F29" s="93">
        <f>D29</f>
        <v>0</v>
      </c>
      <c r="G29" s="123">
        <f t="shared" si="1"/>
        <v>0</v>
      </c>
      <c r="H29" s="123" t="e">
        <f t="shared" si="2"/>
        <v>#DIV/0!</v>
      </c>
    </row>
    <row r="30" spans="1:8" ht="27.75" customHeight="1">
      <c r="A30" s="121" t="s">
        <v>70</v>
      </c>
      <c r="B30" s="191">
        <v>1035</v>
      </c>
      <c r="C30" s="122">
        <f>-('Розшифровка 2 до формування'!D45+'Розшифровка 2 до формування'!D88+'Розшифровка 2 до формування'!D140+'Розшифровка 2 до формування'!D159+'Розшифровка 2 до формування'!D176+'Розшифровка 2 до формування'!D206)</f>
        <v>-57.2</v>
      </c>
      <c r="D30" s="122">
        <f>F30</f>
        <v>-127.19999999999999</v>
      </c>
      <c r="E30" s="122">
        <f>-('Розшифровка 2 до формування'!E45+'Розшифровка 2 до формування'!E88+'Розшифровка 2 до формування'!E140+'Розшифровка 2 до формування'!E159+'Розшифровка 2 до формування'!E176+'Розшифровка 2 до формування'!E206)</f>
        <v>-140.70000000000002</v>
      </c>
      <c r="F30" s="93">
        <f>-('Розшифровка 2 до формування'!F45+'Розшифровка 2 до формування'!F88+'Розшифровка 2 до формування'!F140+'Розшифровка 2 до формування'!F159+'Розшифровка 2 до формування'!F176+'Розшифровка 2 до формування'!F206)</f>
        <v>-127.19999999999999</v>
      </c>
      <c r="G30" s="122">
        <f t="shared" si="1"/>
        <v>13.500000000000028</v>
      </c>
      <c r="H30" s="122">
        <f t="shared" si="2"/>
        <v>90.405117270788892</v>
      </c>
    </row>
    <row r="31" spans="1:8" ht="47.25" customHeight="1">
      <c r="A31" s="118" t="s">
        <v>1</v>
      </c>
      <c r="B31" s="191">
        <v>1100</v>
      </c>
      <c r="C31" s="93">
        <f>SUM(C15,C16,C22,C25)</f>
        <v>417.49999999999829</v>
      </c>
      <c r="D31" s="93">
        <f>SUM(D15,D16,D22,D25)</f>
        <v>-1204.7999999999854</v>
      </c>
      <c r="E31" s="93">
        <f>SUM(E15,E16,E22,E25)</f>
        <v>-3154.9999999999964</v>
      </c>
      <c r="F31" s="93">
        <f t="shared" si="0"/>
        <v>-1204.7999999999854</v>
      </c>
      <c r="G31" s="93">
        <f t="shared" si="1"/>
        <v>1950.200000000011</v>
      </c>
      <c r="H31" s="93">
        <f t="shared" si="2"/>
        <v>38.187004754357744</v>
      </c>
    </row>
    <row r="32" spans="1:8" ht="27.75" customHeight="1">
      <c r="A32" s="118" t="s">
        <v>123</v>
      </c>
      <c r="B32" s="119">
        <v>1130</v>
      </c>
      <c r="C32" s="93">
        <f>'Розшифровка 1 до Формування'!D16</f>
        <v>269.8</v>
      </c>
      <c r="D32" s="93">
        <f>F32</f>
        <v>629.1</v>
      </c>
      <c r="E32" s="93">
        <f>'Розшифровка 1 до Формування'!E16</f>
        <v>405</v>
      </c>
      <c r="F32" s="93">
        <f>'Розшифровка 1 до Формування'!F16</f>
        <v>629.1</v>
      </c>
      <c r="G32" s="93">
        <f t="shared" si="1"/>
        <v>224.10000000000002</v>
      </c>
      <c r="H32" s="93">
        <f t="shared" si="2"/>
        <v>155.33333333333334</v>
      </c>
    </row>
    <row r="33" spans="1:11" ht="27.75" customHeight="1">
      <c r="A33" s="124" t="s">
        <v>124</v>
      </c>
      <c r="B33" s="119">
        <v>1140</v>
      </c>
      <c r="C33" s="93" t="s">
        <v>26</v>
      </c>
      <c r="D33" s="93" t="s">
        <v>26</v>
      </c>
      <c r="E33" s="122" t="s">
        <v>26</v>
      </c>
      <c r="F33" s="93" t="str">
        <f t="shared" si="0"/>
        <v>(    )</v>
      </c>
      <c r="G33" s="125" t="e">
        <f t="shared" si="1"/>
        <v>#VALUE!</v>
      </c>
      <c r="H33" s="125" t="e">
        <f t="shared" si="2"/>
        <v>#VALUE!</v>
      </c>
    </row>
    <row r="34" spans="1:11" ht="27.75" customHeight="1">
      <c r="A34" s="118" t="s">
        <v>125</v>
      </c>
      <c r="B34" s="119">
        <v>1150</v>
      </c>
      <c r="C34" s="93">
        <f>'Розшифровка 1 до Формування'!D18</f>
        <v>1970.6000000000001</v>
      </c>
      <c r="D34" s="93">
        <f>F34</f>
        <v>2402.9</v>
      </c>
      <c r="E34" s="93">
        <f>'Розшифровка 1 до Формування'!E18</f>
        <v>2750</v>
      </c>
      <c r="F34" s="93">
        <f>'Розшифровка 1 до Формування'!F18</f>
        <v>2402.9</v>
      </c>
      <c r="G34" s="93">
        <f t="shared" si="1"/>
        <v>-347.09999999999991</v>
      </c>
      <c r="H34" s="93">
        <f t="shared" si="2"/>
        <v>87.378181818181815</v>
      </c>
    </row>
    <row r="35" spans="1:11" ht="27.75" customHeight="1">
      <c r="A35" s="118" t="s">
        <v>126</v>
      </c>
      <c r="B35" s="119">
        <v>1160</v>
      </c>
      <c r="C35" s="93" t="s">
        <v>26</v>
      </c>
      <c r="D35" s="93" t="s">
        <v>26</v>
      </c>
      <c r="E35" s="122" t="s">
        <v>26</v>
      </c>
      <c r="F35" s="93" t="str">
        <f t="shared" si="0"/>
        <v>(    )</v>
      </c>
      <c r="G35" s="125" t="e">
        <f t="shared" si="1"/>
        <v>#VALUE!</v>
      </c>
      <c r="H35" s="125" t="e">
        <f t="shared" si="2"/>
        <v>#VALUE!</v>
      </c>
    </row>
    <row r="36" spans="1:11" ht="28.5" customHeight="1">
      <c r="A36" s="118" t="s">
        <v>15</v>
      </c>
      <c r="B36" s="119">
        <v>1170</v>
      </c>
      <c r="C36" s="93">
        <f>SUM(C31, C32:C35)</f>
        <v>2657.8999999999987</v>
      </c>
      <c r="D36" s="93">
        <f>SUM(D31, D32:D35)</f>
        <v>1827.2000000000148</v>
      </c>
      <c r="E36" s="93">
        <f>SUM(E31, E32:E35)</f>
        <v>3.637978807091713E-12</v>
      </c>
      <c r="F36" s="93">
        <f t="shared" si="0"/>
        <v>1827.2000000000148</v>
      </c>
      <c r="G36" s="93">
        <f t="shared" si="1"/>
        <v>1827.2000000000112</v>
      </c>
      <c r="H36" s="125">
        <f t="shared" si="2"/>
        <v>5.0225691156808088E+16</v>
      </c>
    </row>
    <row r="37" spans="1:11" ht="27.75" customHeight="1">
      <c r="A37" s="124" t="s">
        <v>28</v>
      </c>
      <c r="B37" s="191">
        <v>1180</v>
      </c>
      <c r="C37" s="122" t="s">
        <v>26</v>
      </c>
      <c r="D37" s="122" t="s">
        <v>26</v>
      </c>
      <c r="E37" s="122" t="s">
        <v>26</v>
      </c>
      <c r="F37" s="93" t="str">
        <f t="shared" si="0"/>
        <v>(    )</v>
      </c>
      <c r="G37" s="123" t="e">
        <f t="shared" si="1"/>
        <v>#VALUE!</v>
      </c>
      <c r="H37" s="123" t="e">
        <f t="shared" si="2"/>
        <v>#VALUE!</v>
      </c>
    </row>
    <row r="38" spans="1:11" ht="27" customHeight="1">
      <c r="A38" s="124" t="s">
        <v>29</v>
      </c>
      <c r="B38" s="191">
        <v>1181</v>
      </c>
      <c r="C38" s="122"/>
      <c r="D38" s="122"/>
      <c r="E38" s="122"/>
      <c r="F38" s="93">
        <f>D38</f>
        <v>0</v>
      </c>
      <c r="G38" s="125">
        <f t="shared" si="1"/>
        <v>0</v>
      </c>
      <c r="H38" s="123" t="e">
        <f t="shared" si="2"/>
        <v>#DIV/0!</v>
      </c>
    </row>
    <row r="39" spans="1:11" ht="28.5" customHeight="1">
      <c r="A39" s="118" t="s">
        <v>46</v>
      </c>
      <c r="B39" s="191">
        <v>1200</v>
      </c>
      <c r="C39" s="93">
        <f>SUM(C36:C38)</f>
        <v>2657.8999999999987</v>
      </c>
      <c r="D39" s="93">
        <f>SUM(D36:D38)</f>
        <v>1827.2000000000148</v>
      </c>
      <c r="E39" s="93">
        <f>SUM(E36:E38)</f>
        <v>3.637978807091713E-12</v>
      </c>
      <c r="F39" s="93">
        <f t="shared" si="0"/>
        <v>1827.2000000000148</v>
      </c>
      <c r="G39" s="93">
        <f t="shared" si="1"/>
        <v>1827.2000000000112</v>
      </c>
      <c r="H39" s="125">
        <f t="shared" si="2"/>
        <v>5.0225691156808088E+16</v>
      </c>
    </row>
    <row r="40" spans="1:11" ht="35.25" customHeight="1">
      <c r="A40" s="124" t="s">
        <v>47</v>
      </c>
      <c r="B40" s="191">
        <v>1201</v>
      </c>
      <c r="C40" s="122"/>
      <c r="D40" s="122"/>
      <c r="E40" s="122"/>
      <c r="F40" s="93">
        <f t="shared" si="0"/>
        <v>0</v>
      </c>
      <c r="G40" s="123">
        <f t="shared" si="1"/>
        <v>0</v>
      </c>
      <c r="H40" s="123" t="e">
        <f t="shared" si="2"/>
        <v>#DIV/0!</v>
      </c>
    </row>
    <row r="41" spans="1:11" ht="33" customHeight="1">
      <c r="A41" s="124" t="s">
        <v>48</v>
      </c>
      <c r="B41" s="191">
        <v>1202</v>
      </c>
      <c r="C41" s="122"/>
      <c r="D41" s="122" t="s">
        <v>26</v>
      </c>
      <c r="E41" s="122" t="s">
        <v>26</v>
      </c>
      <c r="F41" s="93" t="str">
        <f>D41</f>
        <v>(    )</v>
      </c>
      <c r="G41" s="123" t="e">
        <f t="shared" si="1"/>
        <v>#VALUE!</v>
      </c>
      <c r="H41" s="123" t="e">
        <f t="shared" si="2"/>
        <v>#VALUE!</v>
      </c>
      <c r="J41" s="126"/>
    </row>
    <row r="42" spans="1:11" ht="33" customHeight="1">
      <c r="A42" s="118" t="s">
        <v>116</v>
      </c>
      <c r="B42" s="119">
        <v>1210</v>
      </c>
      <c r="C42" s="93">
        <f>SUM(C8,C22,C32,C34,C38)</f>
        <v>44555.200000000004</v>
      </c>
      <c r="D42" s="93">
        <f>SUM(D8,D22,D32,D34,D38)</f>
        <v>49516.100000000006</v>
      </c>
      <c r="E42" s="93">
        <f>SUM(E8,E22,E32,E34,E38)</f>
        <v>48947.4</v>
      </c>
      <c r="F42" s="93">
        <f t="shared" si="0"/>
        <v>49516.100000000006</v>
      </c>
      <c r="G42" s="93">
        <f t="shared" si="1"/>
        <v>568.70000000000437</v>
      </c>
      <c r="H42" s="93">
        <f t="shared" si="2"/>
        <v>101.16185946546703</v>
      </c>
      <c r="I42" s="126"/>
      <c r="J42" s="126"/>
      <c r="K42" s="126"/>
    </row>
    <row r="43" spans="1:11" ht="33" customHeight="1">
      <c r="A43" s="118" t="s">
        <v>117</v>
      </c>
      <c r="B43" s="119">
        <v>1220</v>
      </c>
      <c r="C43" s="93">
        <f>SUM(C9,C16,C25,C33,C35,C37)</f>
        <v>-41897.300000000003</v>
      </c>
      <c r="D43" s="93">
        <f>SUM(D9,D16,D25,D33,D35,D37)</f>
        <v>-47688.899999999994</v>
      </c>
      <c r="E43" s="93">
        <f>SUM(E9,E16,E25,E33,E35,E37)</f>
        <v>-48947.399999999994</v>
      </c>
      <c r="F43" s="93">
        <f t="shared" si="0"/>
        <v>-47688.899999999994</v>
      </c>
      <c r="G43" s="93">
        <f t="shared" si="1"/>
        <v>1258.5</v>
      </c>
      <c r="H43" s="93">
        <f t="shared" si="2"/>
        <v>97.428872626533789</v>
      </c>
      <c r="I43" s="126"/>
    </row>
    <row r="44" spans="1:11" ht="33" customHeight="1">
      <c r="A44" s="214" t="s">
        <v>131</v>
      </c>
      <c r="B44" s="214"/>
      <c r="C44" s="214"/>
      <c r="D44" s="214"/>
      <c r="E44" s="214"/>
      <c r="F44" s="214"/>
      <c r="G44" s="214"/>
      <c r="H44" s="214"/>
      <c r="J44" s="126"/>
      <c r="K44" s="126"/>
    </row>
    <row r="45" spans="1:11" ht="33" customHeight="1">
      <c r="A45" s="121" t="s">
        <v>56</v>
      </c>
      <c r="B45" s="192">
        <v>9000</v>
      </c>
      <c r="C45" s="122">
        <f>-(C10)</f>
        <v>8323.7999999999993</v>
      </c>
      <c r="D45" s="122">
        <f t="shared" ref="D45:F45" si="5">-(D10)</f>
        <v>8056.1999999999989</v>
      </c>
      <c r="E45" s="122">
        <f t="shared" si="5"/>
        <v>6226</v>
      </c>
      <c r="F45" s="122">
        <f t="shared" si="5"/>
        <v>8056.1999999999989</v>
      </c>
      <c r="G45" s="127">
        <f t="shared" ref="G45:G50" si="6">F45-E45</f>
        <v>1830.1999999999989</v>
      </c>
      <c r="H45" s="127">
        <f t="shared" ref="H45:H50" si="7">(F45/E45)*100</f>
        <v>129.39608095085126</v>
      </c>
    </row>
    <row r="46" spans="1:11" ht="33" customHeight="1">
      <c r="A46" s="121" t="s">
        <v>2</v>
      </c>
      <c r="B46" s="192">
        <v>9010</v>
      </c>
      <c r="C46" s="122">
        <f>-(C11+C18+C27)</f>
        <v>22181.4</v>
      </c>
      <c r="D46" s="122">
        <f t="shared" ref="D46:F46" si="8">-(D11+D18+D27)</f>
        <v>24241.7</v>
      </c>
      <c r="E46" s="122">
        <f t="shared" si="8"/>
        <v>25844.699999999997</v>
      </c>
      <c r="F46" s="122">
        <f t="shared" si="8"/>
        <v>24241.7</v>
      </c>
      <c r="G46" s="127">
        <f t="shared" si="6"/>
        <v>-1602.9999999999964</v>
      </c>
      <c r="H46" s="127">
        <f t="shared" si="7"/>
        <v>93.79756777985429</v>
      </c>
      <c r="I46" s="126"/>
    </row>
    <row r="47" spans="1:11" ht="33" customHeight="1">
      <c r="A47" s="121" t="s">
        <v>3</v>
      </c>
      <c r="B47" s="192">
        <v>9020</v>
      </c>
      <c r="C47" s="122">
        <f>-(C12+C19+C28)</f>
        <v>4663.7</v>
      </c>
      <c r="D47" s="122">
        <f t="shared" ref="D47:F47" si="9">-(D12+D19+D28)</f>
        <v>5101.4999999999991</v>
      </c>
      <c r="E47" s="122">
        <f t="shared" si="9"/>
        <v>5943.5</v>
      </c>
      <c r="F47" s="122">
        <f t="shared" si="9"/>
        <v>5101.4999999999991</v>
      </c>
      <c r="G47" s="127">
        <f t="shared" si="6"/>
        <v>-842.00000000000091</v>
      </c>
      <c r="H47" s="127">
        <f t="shared" si="7"/>
        <v>85.833263228737252</v>
      </c>
    </row>
    <row r="48" spans="1:11" ht="33" customHeight="1">
      <c r="A48" s="121" t="s">
        <v>4</v>
      </c>
      <c r="B48" s="192">
        <v>9030</v>
      </c>
      <c r="C48" s="122">
        <f>-(C13+C20)</f>
        <v>2021.1</v>
      </c>
      <c r="D48" s="122">
        <f t="shared" ref="D48:F48" si="10">-(D13+D20)</f>
        <v>2671.2000000000003</v>
      </c>
      <c r="E48" s="122">
        <f t="shared" si="10"/>
        <v>2750</v>
      </c>
      <c r="F48" s="122">
        <f t="shared" si="10"/>
        <v>2671.2000000000003</v>
      </c>
      <c r="G48" s="127">
        <f t="shared" si="6"/>
        <v>-78.799999999999727</v>
      </c>
      <c r="H48" s="127">
        <f t="shared" si="7"/>
        <v>97.13454545454546</v>
      </c>
    </row>
    <row r="49" spans="1:8" ht="33" customHeight="1">
      <c r="A49" s="121" t="s">
        <v>6</v>
      </c>
      <c r="B49" s="192">
        <v>9040</v>
      </c>
      <c r="C49" s="122">
        <f>-(C14+C21+C30)</f>
        <v>4707.3</v>
      </c>
      <c r="D49" s="122">
        <f t="shared" ref="D49:F49" si="11">-(D14+D21+D30)</f>
        <v>7618.2999999999984</v>
      </c>
      <c r="E49" s="122">
        <f t="shared" si="11"/>
        <v>8183.1999999999989</v>
      </c>
      <c r="F49" s="122">
        <f t="shared" si="11"/>
        <v>7618.2999999999984</v>
      </c>
      <c r="G49" s="127">
        <f t="shared" si="6"/>
        <v>-564.90000000000055</v>
      </c>
      <c r="H49" s="127">
        <f t="shared" si="7"/>
        <v>93.096832534949641</v>
      </c>
    </row>
    <row r="50" spans="1:8" ht="33" customHeight="1">
      <c r="A50" s="128" t="s">
        <v>9</v>
      </c>
      <c r="B50" s="190">
        <v>9050</v>
      </c>
      <c r="C50" s="93">
        <f>SUM(C45:C49)</f>
        <v>41897.300000000003</v>
      </c>
      <c r="D50" s="93">
        <f>SUM(D45:D49)</f>
        <v>47688.899999999994</v>
      </c>
      <c r="E50" s="93">
        <f>SUM(E45:E49)</f>
        <v>48947.399999999994</v>
      </c>
      <c r="F50" s="93">
        <f>SUM(F45:F49)</f>
        <v>47688.899999999994</v>
      </c>
      <c r="G50" s="129">
        <f t="shared" si="6"/>
        <v>-1258.5</v>
      </c>
      <c r="H50" s="129">
        <f t="shared" si="7"/>
        <v>97.428872626533789</v>
      </c>
    </row>
    <row r="51" spans="1:8" ht="33" customHeight="1">
      <c r="A51" s="209" t="s">
        <v>99</v>
      </c>
      <c r="B51" s="209"/>
      <c r="C51" s="209"/>
      <c r="D51" s="209"/>
      <c r="E51" s="209"/>
      <c r="F51" s="209"/>
      <c r="G51" s="209"/>
      <c r="H51" s="209"/>
    </row>
    <row r="52" spans="1:8" ht="69" customHeight="1">
      <c r="A52" s="130" t="s">
        <v>135</v>
      </c>
      <c r="B52" s="119">
        <v>2110</v>
      </c>
      <c r="C52" s="93">
        <f>SUM(C53:C56)</f>
        <v>-380.42100000000005</v>
      </c>
      <c r="D52" s="93">
        <f>SUM(D53:D56)</f>
        <v>-1261.585</v>
      </c>
      <c r="E52" s="93">
        <f>SUM(E53:E56)</f>
        <v>-1327.2349999999999</v>
      </c>
      <c r="F52" s="93">
        <f>SUM(F53:F56)</f>
        <v>-1261.585</v>
      </c>
      <c r="G52" s="93">
        <f t="shared" ref="G52:G68" si="12">F52-E52</f>
        <v>65.649999999999864</v>
      </c>
      <c r="H52" s="93">
        <f>(F52/E52)*100</f>
        <v>95.05362652431559</v>
      </c>
    </row>
    <row r="53" spans="1:8" ht="44.25" customHeight="1">
      <c r="A53" s="121" t="s">
        <v>53</v>
      </c>
      <c r="B53" s="191">
        <v>2111</v>
      </c>
      <c r="C53" s="122">
        <v>-47.7</v>
      </c>
      <c r="D53" s="122">
        <v>-49.5</v>
      </c>
      <c r="E53" s="122">
        <v>-35</v>
      </c>
      <c r="F53" s="122">
        <f>D53</f>
        <v>-49.5</v>
      </c>
      <c r="G53" s="122">
        <f t="shared" si="12"/>
        <v>-14.5</v>
      </c>
      <c r="H53" s="122">
        <f t="shared" ref="H53:H68" si="13">(F53/E53)*100</f>
        <v>141.42857142857144</v>
      </c>
    </row>
    <row r="54" spans="1:8" ht="48.75" customHeight="1">
      <c r="A54" s="131" t="s">
        <v>54</v>
      </c>
      <c r="B54" s="191">
        <v>2112</v>
      </c>
      <c r="C54" s="122" t="s">
        <v>26</v>
      </c>
      <c r="D54" s="122" t="s">
        <v>26</v>
      </c>
      <c r="E54" s="122"/>
      <c r="F54" s="122" t="s">
        <v>26</v>
      </c>
      <c r="G54" s="123" t="e">
        <f t="shared" si="12"/>
        <v>#VALUE!</v>
      </c>
      <c r="H54" s="123" t="e">
        <f t="shared" si="13"/>
        <v>#VALUE!</v>
      </c>
    </row>
    <row r="55" spans="1:8" ht="28.5" customHeight="1">
      <c r="A55" s="121" t="s">
        <v>61</v>
      </c>
      <c r="B55" s="191">
        <v>2113</v>
      </c>
      <c r="C55" s="122">
        <f>-C46*1.5/100</f>
        <v>-332.72100000000006</v>
      </c>
      <c r="D55" s="122">
        <f>-D46*5/100</f>
        <v>-1212.085</v>
      </c>
      <c r="E55" s="122">
        <f>-E46*5/100</f>
        <v>-1292.2349999999999</v>
      </c>
      <c r="F55" s="122">
        <f>D55</f>
        <v>-1212.085</v>
      </c>
      <c r="G55" s="122">
        <f t="shared" si="12"/>
        <v>80.149999999999864</v>
      </c>
      <c r="H55" s="122">
        <f t="shared" si="13"/>
        <v>93.79756777985429</v>
      </c>
    </row>
    <row r="56" spans="1:8" ht="33" customHeight="1">
      <c r="A56" s="121" t="s">
        <v>40</v>
      </c>
      <c r="B56" s="191">
        <v>2114</v>
      </c>
      <c r="C56" s="122" t="s">
        <v>26</v>
      </c>
      <c r="D56" s="122" t="s">
        <v>26</v>
      </c>
      <c r="E56" s="122" t="s">
        <v>26</v>
      </c>
      <c r="F56" s="122" t="s">
        <v>26</v>
      </c>
      <c r="G56" s="123" t="e">
        <f t="shared" si="12"/>
        <v>#VALUE!</v>
      </c>
      <c r="H56" s="123" t="e">
        <f t="shared" si="13"/>
        <v>#VALUE!</v>
      </c>
    </row>
    <row r="57" spans="1:8" ht="43.5" customHeight="1">
      <c r="A57" s="132" t="s">
        <v>58</v>
      </c>
      <c r="B57" s="190">
        <v>2120</v>
      </c>
      <c r="C57" s="93">
        <f>SUM(C58:C63)</f>
        <v>-3993.252</v>
      </c>
      <c r="D57" s="93">
        <f>SUM(D58:D63)</f>
        <v>-4396.8060000000005</v>
      </c>
      <c r="E57" s="93">
        <f>SUM(E58:E63)</f>
        <v>-4701.945999999999</v>
      </c>
      <c r="F57" s="93">
        <f>SUM(F58:F63)</f>
        <v>-4396.8060000000005</v>
      </c>
      <c r="G57" s="93">
        <f t="shared" si="12"/>
        <v>305.13999999999851</v>
      </c>
      <c r="H57" s="93">
        <f t="shared" si="13"/>
        <v>93.510346567144779</v>
      </c>
    </row>
    <row r="58" spans="1:8" ht="36" customHeight="1">
      <c r="A58" s="131" t="s">
        <v>38</v>
      </c>
      <c r="B58" s="192">
        <v>2121</v>
      </c>
      <c r="C58" s="122" t="s">
        <v>26</v>
      </c>
      <c r="D58" s="122" t="s">
        <v>26</v>
      </c>
      <c r="E58" s="122" t="s">
        <v>26</v>
      </c>
      <c r="F58" s="122" t="s">
        <v>26</v>
      </c>
      <c r="G58" s="123" t="e">
        <f t="shared" si="12"/>
        <v>#VALUE!</v>
      </c>
      <c r="H58" s="123" t="e">
        <f t="shared" si="13"/>
        <v>#VALUE!</v>
      </c>
    </row>
    <row r="59" spans="1:8" ht="33.75" customHeight="1">
      <c r="A59" s="121" t="s">
        <v>14</v>
      </c>
      <c r="B59" s="192">
        <v>2122</v>
      </c>
      <c r="C59" s="122">
        <f>-C46*18/100</f>
        <v>-3992.652</v>
      </c>
      <c r="D59" s="122">
        <f>-D46*18/100</f>
        <v>-4363.5060000000003</v>
      </c>
      <c r="E59" s="122">
        <f>-E46*18/100</f>
        <v>-4652.0459999999994</v>
      </c>
      <c r="F59" s="122">
        <f>D59</f>
        <v>-4363.5060000000003</v>
      </c>
      <c r="G59" s="122">
        <f t="shared" si="12"/>
        <v>288.53999999999905</v>
      </c>
      <c r="H59" s="122">
        <f>(F59/E59)*100</f>
        <v>93.797567779854305</v>
      </c>
    </row>
    <row r="60" spans="1:8" ht="31.5" customHeight="1">
      <c r="A60" s="121" t="s">
        <v>44</v>
      </c>
      <c r="B60" s="192">
        <v>2123</v>
      </c>
      <c r="C60" s="122">
        <v>-0.6</v>
      </c>
      <c r="D60" s="122">
        <v>-33.299999999999997</v>
      </c>
      <c r="E60" s="122">
        <v>-49.9</v>
      </c>
      <c r="F60" s="122">
        <f>D60</f>
        <v>-33.299999999999997</v>
      </c>
      <c r="G60" s="123">
        <f t="shared" si="12"/>
        <v>16.600000000000001</v>
      </c>
      <c r="H60" s="123">
        <f t="shared" si="13"/>
        <v>66.733466933867732</v>
      </c>
    </row>
    <row r="61" spans="1:8" ht="31.5" customHeight="1">
      <c r="A61" s="121" t="s">
        <v>45</v>
      </c>
      <c r="B61" s="192">
        <v>2124</v>
      </c>
      <c r="C61" s="122" t="s">
        <v>26</v>
      </c>
      <c r="D61" s="122" t="s">
        <v>26</v>
      </c>
      <c r="E61" s="122" t="s">
        <v>26</v>
      </c>
      <c r="F61" s="122" t="s">
        <v>26</v>
      </c>
      <c r="G61" s="123" t="e">
        <f t="shared" si="12"/>
        <v>#VALUE!</v>
      </c>
      <c r="H61" s="123" t="e">
        <f t="shared" si="13"/>
        <v>#VALUE!</v>
      </c>
    </row>
    <row r="62" spans="1:8" ht="103.5" customHeight="1">
      <c r="A62" s="121" t="s">
        <v>240</v>
      </c>
      <c r="B62" s="192">
        <v>2125</v>
      </c>
      <c r="C62" s="122" t="s">
        <v>26</v>
      </c>
      <c r="D62" s="122" t="s">
        <v>26</v>
      </c>
      <c r="E62" s="122" t="s">
        <v>26</v>
      </c>
      <c r="F62" s="122" t="s">
        <v>26</v>
      </c>
      <c r="G62" s="123" t="e">
        <f t="shared" si="12"/>
        <v>#VALUE!</v>
      </c>
      <c r="H62" s="123" t="e">
        <f t="shared" si="13"/>
        <v>#VALUE!</v>
      </c>
    </row>
    <row r="63" spans="1:8" ht="31.5" customHeight="1">
      <c r="A63" s="121" t="s">
        <v>40</v>
      </c>
      <c r="B63" s="192">
        <v>2126</v>
      </c>
      <c r="C63" s="122" t="s">
        <v>26</v>
      </c>
      <c r="D63" s="122" t="s">
        <v>26</v>
      </c>
      <c r="E63" s="122" t="s">
        <v>26</v>
      </c>
      <c r="F63" s="122" t="s">
        <v>26</v>
      </c>
      <c r="G63" s="123" t="e">
        <f t="shared" si="12"/>
        <v>#VALUE!</v>
      </c>
      <c r="H63" s="123" t="e">
        <f t="shared" si="13"/>
        <v>#VALUE!</v>
      </c>
    </row>
    <row r="64" spans="1:8" ht="48" customHeight="1">
      <c r="A64" s="130" t="s">
        <v>59</v>
      </c>
      <c r="B64" s="190">
        <v>2130</v>
      </c>
      <c r="C64" s="93">
        <f>SUM(C65:C67)</f>
        <v>-4723.8</v>
      </c>
      <c r="D64" s="93">
        <f>SUM(D65:D67)</f>
        <v>-5204.6999999999989</v>
      </c>
      <c r="E64" s="93">
        <f>SUM(E65:E67)</f>
        <v>-6005.6</v>
      </c>
      <c r="F64" s="93">
        <f>SUM(F65:F67)</f>
        <v>-5204.6999999999989</v>
      </c>
      <c r="G64" s="93">
        <f t="shared" si="12"/>
        <v>800.90000000000146</v>
      </c>
      <c r="H64" s="93">
        <f t="shared" si="13"/>
        <v>86.664113494072183</v>
      </c>
    </row>
    <row r="65" spans="1:9" ht="33" customHeight="1">
      <c r="A65" s="121" t="s">
        <v>41</v>
      </c>
      <c r="B65" s="192">
        <v>2131</v>
      </c>
      <c r="C65" s="122" t="s">
        <v>26</v>
      </c>
      <c r="D65" s="122" t="s">
        <v>26</v>
      </c>
      <c r="E65" s="122" t="s">
        <v>26</v>
      </c>
      <c r="F65" s="122" t="s">
        <v>26</v>
      </c>
      <c r="G65" s="123" t="e">
        <f t="shared" si="12"/>
        <v>#VALUE!</v>
      </c>
      <c r="H65" s="123" t="e">
        <f t="shared" si="13"/>
        <v>#VALUE!</v>
      </c>
    </row>
    <row r="66" spans="1:9" ht="44.25" customHeight="1">
      <c r="A66" s="121" t="s">
        <v>42</v>
      </c>
      <c r="B66" s="192">
        <v>2132</v>
      </c>
      <c r="C66" s="122">
        <v>-4663.7</v>
      </c>
      <c r="D66" s="122">
        <f>-D47</f>
        <v>-5101.4999999999991</v>
      </c>
      <c r="E66" s="122">
        <f>-E47</f>
        <v>-5943.5</v>
      </c>
      <c r="F66" s="122">
        <f>D66</f>
        <v>-5101.4999999999991</v>
      </c>
      <c r="G66" s="122">
        <f>F66-E66</f>
        <v>842.00000000000091</v>
      </c>
      <c r="H66" s="122">
        <f t="shared" si="13"/>
        <v>85.833263228737252</v>
      </c>
    </row>
    <row r="67" spans="1:9" ht="35.25" customHeight="1">
      <c r="A67" s="121" t="s">
        <v>43</v>
      </c>
      <c r="B67" s="192">
        <v>2133</v>
      </c>
      <c r="C67" s="122">
        <v>-60.1</v>
      </c>
      <c r="D67" s="122">
        <v>-103.2</v>
      </c>
      <c r="E67" s="122">
        <v>-62.1</v>
      </c>
      <c r="F67" s="122">
        <f>D67</f>
        <v>-103.2</v>
      </c>
      <c r="G67" s="122">
        <f t="shared" si="12"/>
        <v>-41.1</v>
      </c>
      <c r="H67" s="122">
        <f t="shared" si="13"/>
        <v>166.18357487922705</v>
      </c>
      <c r="I67" s="105" t="s">
        <v>211</v>
      </c>
    </row>
    <row r="68" spans="1:9" ht="30.75" customHeight="1">
      <c r="A68" s="132" t="s">
        <v>55</v>
      </c>
      <c r="B68" s="190">
        <v>2200</v>
      </c>
      <c r="C68" s="93">
        <f>SUM(C52+C57+C64)</f>
        <v>-9097.473</v>
      </c>
      <c r="D68" s="93">
        <f>SUM(D52+D57+D64)</f>
        <v>-10863.091</v>
      </c>
      <c r="E68" s="93">
        <f>SUM(E52+E57+E64)</f>
        <v>-12034.780999999999</v>
      </c>
      <c r="F68" s="93">
        <f>SUM(F52+F57+F64)</f>
        <v>-10863.091</v>
      </c>
      <c r="G68" s="93">
        <f t="shared" si="12"/>
        <v>1171.6899999999987</v>
      </c>
      <c r="H68" s="93">
        <f t="shared" si="13"/>
        <v>90.264135259295543</v>
      </c>
    </row>
    <row r="69" spans="1:9" ht="33" customHeight="1">
      <c r="A69" s="210" t="s">
        <v>100</v>
      </c>
      <c r="B69" s="210"/>
      <c r="C69" s="210"/>
      <c r="D69" s="210"/>
      <c r="E69" s="210"/>
      <c r="F69" s="210"/>
      <c r="G69" s="210"/>
      <c r="H69" s="210"/>
      <c r="I69" s="126"/>
    </row>
    <row r="70" spans="1:9" ht="27.75" customHeight="1">
      <c r="A70" s="118" t="s">
        <v>19</v>
      </c>
      <c r="B70" s="119">
        <v>4000</v>
      </c>
      <c r="C70" s="93">
        <f>SUM(C71:C77)</f>
        <v>-5928.5</v>
      </c>
      <c r="D70" s="93">
        <f>SUM(D71:D77)</f>
        <v>-2315.8999999999996</v>
      </c>
      <c r="E70" s="93">
        <f>SUM(E71:E77)</f>
        <v>0</v>
      </c>
      <c r="F70" s="93">
        <f>SUM(F71:F77)</f>
        <v>-2315.8999999999996</v>
      </c>
      <c r="G70" s="93">
        <f>F70-E70</f>
        <v>-2315.8999999999996</v>
      </c>
      <c r="H70" s="93" t="e">
        <f>(F70/E70)*100</f>
        <v>#DIV/0!</v>
      </c>
    </row>
    <row r="71" spans="1:9" ht="37.5" customHeight="1">
      <c r="A71" s="121" t="s">
        <v>62</v>
      </c>
      <c r="B71" s="191">
        <v>4010</v>
      </c>
      <c r="C71" s="122" t="s">
        <v>26</v>
      </c>
      <c r="D71" s="122" t="s">
        <v>26</v>
      </c>
      <c r="E71" s="122" t="s">
        <v>26</v>
      </c>
      <c r="F71" s="122" t="s">
        <v>26</v>
      </c>
      <c r="G71" s="123" t="e">
        <f t="shared" ref="G71:G75" si="14">F71-E71</f>
        <v>#VALUE!</v>
      </c>
      <c r="H71" s="123" t="e">
        <f t="shared" ref="H71:H75" si="15">(F71/E71)*100</f>
        <v>#VALUE!</v>
      </c>
    </row>
    <row r="72" spans="1:9" ht="48.75" customHeight="1">
      <c r="A72" s="121" t="s">
        <v>127</v>
      </c>
      <c r="B72" s="191">
        <v>4020</v>
      </c>
      <c r="C72" s="122">
        <f>-'Розшифровка кап'!C6</f>
        <v>-2220.8000000000002</v>
      </c>
      <c r="D72" s="122">
        <f>F72</f>
        <v>-1596.2</v>
      </c>
      <c r="E72" s="122">
        <f>-'Розшифровка кап'!D6</f>
        <v>0</v>
      </c>
      <c r="F72" s="122">
        <f>-'Розшифровка кап'!E6</f>
        <v>-1596.2</v>
      </c>
      <c r="G72" s="122">
        <f t="shared" si="14"/>
        <v>-1596.2</v>
      </c>
      <c r="H72" s="123" t="e">
        <f t="shared" si="15"/>
        <v>#DIV/0!</v>
      </c>
    </row>
    <row r="73" spans="1:9" ht="48.75" customHeight="1">
      <c r="A73" s="121" t="s">
        <v>71</v>
      </c>
      <c r="B73" s="191">
        <v>4030</v>
      </c>
      <c r="C73" s="122">
        <f>-'Розшифровка кап'!C31</f>
        <v>-49.8</v>
      </c>
      <c r="D73" s="122">
        <f>F73</f>
        <v>-480</v>
      </c>
      <c r="E73" s="122">
        <f>-'Розшифровка кап'!D31</f>
        <v>0</v>
      </c>
      <c r="F73" s="122">
        <f>-'Розшифровка кап'!E31</f>
        <v>-480</v>
      </c>
      <c r="G73" s="122">
        <f t="shared" si="14"/>
        <v>-480</v>
      </c>
      <c r="H73" s="123" t="e">
        <f t="shared" si="15"/>
        <v>#DIV/0!</v>
      </c>
    </row>
    <row r="74" spans="1:9" ht="49.5" customHeight="1">
      <c r="A74" s="121" t="s">
        <v>128</v>
      </c>
      <c r="B74" s="191">
        <v>4040</v>
      </c>
      <c r="C74" s="122" t="s">
        <v>26</v>
      </c>
      <c r="D74" s="122" t="s">
        <v>26</v>
      </c>
      <c r="E74" s="122" t="s">
        <v>26</v>
      </c>
      <c r="F74" s="122" t="s">
        <v>26</v>
      </c>
      <c r="G74" s="123" t="e">
        <f t="shared" si="14"/>
        <v>#VALUE!</v>
      </c>
      <c r="H74" s="123" t="e">
        <f t="shared" si="15"/>
        <v>#VALUE!</v>
      </c>
    </row>
    <row r="75" spans="1:9" ht="73.5" customHeight="1">
      <c r="A75" s="121" t="s">
        <v>63</v>
      </c>
      <c r="B75" s="191">
        <v>4050</v>
      </c>
      <c r="C75" s="122" t="s">
        <v>26</v>
      </c>
      <c r="D75" s="122" t="s">
        <v>26</v>
      </c>
      <c r="E75" s="122" t="s">
        <v>26</v>
      </c>
      <c r="F75" s="122" t="s">
        <v>26</v>
      </c>
      <c r="G75" s="123" t="e">
        <f t="shared" si="14"/>
        <v>#VALUE!</v>
      </c>
      <c r="H75" s="123" t="e">
        <f t="shared" si="15"/>
        <v>#VALUE!</v>
      </c>
    </row>
    <row r="76" spans="1:9" ht="36.75" customHeight="1">
      <c r="A76" s="121" t="s">
        <v>64</v>
      </c>
      <c r="B76" s="191">
        <v>4060</v>
      </c>
      <c r="C76" s="122">
        <f>-'Розшифровка кап'!C100</f>
        <v>-3657.9</v>
      </c>
      <c r="D76" s="122">
        <f>F76</f>
        <v>-239.7</v>
      </c>
      <c r="E76" s="122">
        <f>-'Розшифровка кап'!D100</f>
        <v>0</v>
      </c>
      <c r="F76" s="122">
        <f>-'Розшифровка кап'!E100</f>
        <v>-239.7</v>
      </c>
      <c r="G76" s="122">
        <f t="shared" ref="G76:G77" si="16">F76-E76</f>
        <v>-239.7</v>
      </c>
      <c r="H76" s="123" t="e">
        <f t="shared" ref="H76:H77" si="17">(F76/E76)*100</f>
        <v>#DIV/0!</v>
      </c>
    </row>
    <row r="77" spans="1:9" ht="39.75" customHeight="1">
      <c r="A77" s="121" t="s">
        <v>50</v>
      </c>
      <c r="B77" s="191">
        <v>4070</v>
      </c>
      <c r="C77" s="122" t="s">
        <v>26</v>
      </c>
      <c r="D77" s="122" t="s">
        <v>26</v>
      </c>
      <c r="E77" s="122" t="s">
        <v>26</v>
      </c>
      <c r="F77" s="122" t="s">
        <v>26</v>
      </c>
      <c r="G77" s="123" t="e">
        <f t="shared" si="16"/>
        <v>#VALUE!</v>
      </c>
      <c r="H77" s="123" t="e">
        <f t="shared" si="17"/>
        <v>#VALUE!</v>
      </c>
    </row>
    <row r="78" spans="1:9" ht="36.75" customHeight="1">
      <c r="A78" s="209" t="s">
        <v>101</v>
      </c>
      <c r="B78" s="209"/>
      <c r="C78" s="209"/>
      <c r="D78" s="209"/>
      <c r="E78" s="209"/>
      <c r="F78" s="209"/>
      <c r="G78" s="209"/>
      <c r="H78" s="209"/>
    </row>
    <row r="79" spans="1:9" ht="63" customHeight="1">
      <c r="A79" s="195"/>
      <c r="B79" s="195"/>
      <c r="C79" s="211" t="s">
        <v>121</v>
      </c>
      <c r="D79" s="211"/>
      <c r="E79" s="212" t="s">
        <v>328</v>
      </c>
      <c r="F79" s="212"/>
      <c r="G79" s="212"/>
      <c r="H79" s="212"/>
    </row>
    <row r="80" spans="1:9" ht="45" customHeight="1">
      <c r="A80" s="195"/>
      <c r="B80" s="195"/>
      <c r="C80" s="192" t="s">
        <v>289</v>
      </c>
      <c r="D80" s="192" t="s">
        <v>335</v>
      </c>
      <c r="E80" s="117" t="s">
        <v>107</v>
      </c>
      <c r="F80" s="117" t="s">
        <v>108</v>
      </c>
      <c r="G80" s="117" t="s">
        <v>109</v>
      </c>
      <c r="H80" s="117" t="s">
        <v>110</v>
      </c>
    </row>
    <row r="81" spans="1:18" s="193" customFormat="1" ht="86.25" customHeight="1">
      <c r="A81" s="132" t="s">
        <v>129</v>
      </c>
      <c r="B81" s="133" t="s">
        <v>30</v>
      </c>
      <c r="C81" s="134">
        <f>SUM(C82:C84)</f>
        <v>530</v>
      </c>
      <c r="D81" s="134">
        <f>SUM(D82:D84)</f>
        <v>514</v>
      </c>
      <c r="E81" s="134">
        <f>SUM(E82:E84)</f>
        <v>547</v>
      </c>
      <c r="F81" s="134">
        <f>SUM(F82:F84)</f>
        <v>514</v>
      </c>
      <c r="G81" s="135" t="s">
        <v>130</v>
      </c>
      <c r="H81" s="129" t="s">
        <v>130</v>
      </c>
      <c r="J81" s="136"/>
    </row>
    <row r="82" spans="1:18" ht="27.75" customHeight="1">
      <c r="A82" s="124" t="s">
        <v>21</v>
      </c>
      <c r="B82" s="191" t="s">
        <v>31</v>
      </c>
      <c r="C82" s="137">
        <v>1</v>
      </c>
      <c r="D82" s="137">
        <v>1</v>
      </c>
      <c r="E82" s="137">
        <v>1</v>
      </c>
      <c r="F82" s="137">
        <v>1</v>
      </c>
      <c r="G82" s="138" t="s">
        <v>130</v>
      </c>
      <c r="H82" s="127" t="s">
        <v>130</v>
      </c>
      <c r="K82" s="120"/>
      <c r="L82" s="120"/>
    </row>
    <row r="83" spans="1:18" ht="27.75" customHeight="1">
      <c r="A83" s="124" t="s">
        <v>24</v>
      </c>
      <c r="B83" s="191" t="s">
        <v>32</v>
      </c>
      <c r="C83" s="137">
        <v>51</v>
      </c>
      <c r="D83" s="137">
        <v>51</v>
      </c>
      <c r="E83" s="137">
        <v>51</v>
      </c>
      <c r="F83" s="137">
        <v>51</v>
      </c>
      <c r="G83" s="138" t="s">
        <v>130</v>
      </c>
      <c r="H83" s="127" t="s">
        <v>130</v>
      </c>
      <c r="J83" s="120"/>
      <c r="K83" s="120"/>
      <c r="L83" s="139"/>
    </row>
    <row r="84" spans="1:18" ht="27.75" customHeight="1">
      <c r="A84" s="124" t="s">
        <v>22</v>
      </c>
      <c r="B84" s="191" t="s">
        <v>33</v>
      </c>
      <c r="C84" s="137">
        <v>478</v>
      </c>
      <c r="D84" s="137">
        <v>462</v>
      </c>
      <c r="E84" s="137">
        <v>495</v>
      </c>
      <c r="F84" s="137">
        <v>462</v>
      </c>
      <c r="G84" s="138" t="s">
        <v>130</v>
      </c>
      <c r="H84" s="127" t="s">
        <v>130</v>
      </c>
      <c r="J84" s="120"/>
      <c r="K84" s="120"/>
      <c r="L84" s="139"/>
      <c r="M84" s="140"/>
      <c r="N84" s="141"/>
      <c r="O84" s="142"/>
      <c r="P84" s="142"/>
      <c r="Q84" s="142"/>
      <c r="R84" s="142"/>
    </row>
    <row r="85" spans="1:18" ht="27.75" customHeight="1">
      <c r="A85" s="118" t="s">
        <v>72</v>
      </c>
      <c r="B85" s="119" t="s">
        <v>34</v>
      </c>
      <c r="C85" s="143">
        <f>C46</f>
        <v>22181.4</v>
      </c>
      <c r="D85" s="143">
        <f t="shared" ref="D85:F85" si="18">D46</f>
        <v>24241.7</v>
      </c>
      <c r="E85" s="143">
        <f t="shared" si="18"/>
        <v>25844.699999999997</v>
      </c>
      <c r="F85" s="143">
        <f t="shared" si="18"/>
        <v>24241.7</v>
      </c>
      <c r="G85" s="129" t="s">
        <v>130</v>
      </c>
      <c r="H85" s="129" t="s">
        <v>130</v>
      </c>
      <c r="I85" s="120"/>
      <c r="J85" s="120"/>
      <c r="K85" s="120"/>
      <c r="M85" s="144"/>
      <c r="N85" s="145"/>
      <c r="O85" s="146"/>
      <c r="P85" s="146"/>
      <c r="Q85" s="146"/>
      <c r="R85" s="146"/>
    </row>
    <row r="86" spans="1:18" ht="27.75" customHeight="1">
      <c r="A86" s="124" t="s">
        <v>21</v>
      </c>
      <c r="B86" s="191">
        <v>8011</v>
      </c>
      <c r="C86" s="147">
        <v>192.3</v>
      </c>
      <c r="D86" s="148">
        <v>203.2</v>
      </c>
      <c r="E86" s="149">
        <f>812.8/4</f>
        <v>203.2</v>
      </c>
      <c r="F86" s="148">
        <f>D86</f>
        <v>203.2</v>
      </c>
      <c r="G86" s="127" t="s">
        <v>130</v>
      </c>
      <c r="H86" s="127" t="s">
        <v>130</v>
      </c>
      <c r="J86" s="120"/>
      <c r="K86" s="120"/>
      <c r="M86" s="144"/>
      <c r="N86" s="145"/>
      <c r="O86" s="146"/>
      <c r="P86" s="146"/>
      <c r="Q86" s="146"/>
      <c r="R86" s="146"/>
    </row>
    <row r="87" spans="1:18" ht="27.75" customHeight="1">
      <c r="A87" s="124" t="s">
        <v>24</v>
      </c>
      <c r="B87" s="191">
        <v>8012</v>
      </c>
      <c r="C87" s="147">
        <v>1527.9</v>
      </c>
      <c r="D87" s="148">
        <v>1814.9</v>
      </c>
      <c r="E87" s="149">
        <f>11337.7/4</f>
        <v>2834.4250000000002</v>
      </c>
      <c r="F87" s="148">
        <f>D87</f>
        <v>1814.9</v>
      </c>
      <c r="G87" s="127" t="s">
        <v>130</v>
      </c>
      <c r="H87" s="127" t="s">
        <v>130</v>
      </c>
      <c r="J87" s="120"/>
      <c r="K87" s="120"/>
      <c r="M87" s="144"/>
      <c r="N87" s="145"/>
      <c r="O87" s="146"/>
      <c r="P87" s="146"/>
      <c r="Q87" s="146"/>
      <c r="R87" s="146"/>
    </row>
    <row r="88" spans="1:18" ht="27.75" customHeight="1">
      <c r="A88" s="124" t="s">
        <v>22</v>
      </c>
      <c r="B88" s="191">
        <v>8013</v>
      </c>
      <c r="C88" s="147">
        <v>20461.2</v>
      </c>
      <c r="D88" s="148">
        <v>22223.599999999999</v>
      </c>
      <c r="E88" s="149">
        <v>22807.1</v>
      </c>
      <c r="F88" s="148">
        <f>D88</f>
        <v>22223.599999999999</v>
      </c>
      <c r="G88" s="127" t="s">
        <v>130</v>
      </c>
      <c r="H88" s="127" t="s">
        <v>130</v>
      </c>
      <c r="I88" s="126"/>
      <c r="J88" s="120"/>
      <c r="K88" s="120"/>
      <c r="M88" s="150"/>
      <c r="N88" s="151"/>
      <c r="O88" s="152"/>
      <c r="P88" s="152"/>
      <c r="Q88" s="152"/>
      <c r="R88" s="152"/>
    </row>
    <row r="89" spans="1:18" ht="27.75" customHeight="1">
      <c r="A89" s="118" t="s">
        <v>2</v>
      </c>
      <c r="B89" s="119">
        <v>8020</v>
      </c>
      <c r="C89" s="143">
        <f>C46</f>
        <v>22181.4</v>
      </c>
      <c r="D89" s="143">
        <f>D46</f>
        <v>24241.7</v>
      </c>
      <c r="E89" s="153">
        <f>E46</f>
        <v>25844.699999999997</v>
      </c>
      <c r="F89" s="143">
        <f>F46</f>
        <v>24241.7</v>
      </c>
      <c r="G89" s="129" t="s">
        <v>130</v>
      </c>
      <c r="H89" s="129" t="s">
        <v>130</v>
      </c>
      <c r="I89" s="126"/>
      <c r="J89" s="120"/>
      <c r="K89" s="120"/>
      <c r="M89" s="144"/>
      <c r="N89" s="145"/>
      <c r="O89" s="154"/>
      <c r="P89" s="154"/>
      <c r="Q89" s="154"/>
      <c r="R89" s="154"/>
    </row>
    <row r="90" spans="1:18" ht="27.75" customHeight="1">
      <c r="A90" s="124" t="s">
        <v>21</v>
      </c>
      <c r="B90" s="191">
        <v>8021</v>
      </c>
      <c r="C90" s="147">
        <f t="shared" ref="C90:E92" si="19">C86</f>
        <v>192.3</v>
      </c>
      <c r="D90" s="147">
        <f>D86</f>
        <v>203.2</v>
      </c>
      <c r="E90" s="149">
        <f t="shared" si="19"/>
        <v>203.2</v>
      </c>
      <c r="F90" s="148">
        <f>D90</f>
        <v>203.2</v>
      </c>
      <c r="G90" s="127" t="s">
        <v>130</v>
      </c>
      <c r="H90" s="127" t="s">
        <v>130</v>
      </c>
      <c r="I90" s="126"/>
      <c r="J90" s="120"/>
      <c r="K90" s="120"/>
      <c r="M90" s="144"/>
      <c r="N90" s="145"/>
      <c r="O90" s="154"/>
      <c r="P90" s="154"/>
      <c r="Q90" s="154"/>
      <c r="R90" s="154"/>
    </row>
    <row r="91" spans="1:18" ht="27.75" customHeight="1">
      <c r="A91" s="124" t="s">
        <v>24</v>
      </c>
      <c r="B91" s="191">
        <v>8022</v>
      </c>
      <c r="C91" s="147">
        <f t="shared" si="19"/>
        <v>1527.9</v>
      </c>
      <c r="D91" s="147">
        <f t="shared" si="19"/>
        <v>1814.9</v>
      </c>
      <c r="E91" s="149">
        <f t="shared" si="19"/>
        <v>2834.4250000000002</v>
      </c>
      <c r="F91" s="148">
        <f>D91</f>
        <v>1814.9</v>
      </c>
      <c r="G91" s="127" t="s">
        <v>130</v>
      </c>
      <c r="H91" s="127" t="s">
        <v>130</v>
      </c>
      <c r="J91" s="120"/>
      <c r="K91" s="139"/>
      <c r="M91" s="144"/>
      <c r="N91" s="145"/>
      <c r="O91" s="154"/>
      <c r="P91" s="154"/>
      <c r="Q91" s="154"/>
      <c r="R91" s="154"/>
    </row>
    <row r="92" spans="1:18" ht="27.75" customHeight="1">
      <c r="A92" s="124" t="s">
        <v>22</v>
      </c>
      <c r="B92" s="191">
        <v>8023</v>
      </c>
      <c r="C92" s="147">
        <f t="shared" si="19"/>
        <v>20461.2</v>
      </c>
      <c r="D92" s="147">
        <f t="shared" si="19"/>
        <v>22223.599999999999</v>
      </c>
      <c r="E92" s="149">
        <f t="shared" si="19"/>
        <v>22807.1</v>
      </c>
      <c r="F92" s="148">
        <f>D92</f>
        <v>22223.599999999999</v>
      </c>
      <c r="G92" s="127" t="s">
        <v>130</v>
      </c>
      <c r="H92" s="127" t="s">
        <v>130</v>
      </c>
      <c r="J92" s="120"/>
      <c r="M92" s="150"/>
      <c r="N92" s="151"/>
      <c r="O92" s="152"/>
      <c r="P92" s="152"/>
      <c r="Q92" s="152"/>
      <c r="R92" s="152"/>
    </row>
    <row r="93" spans="1:18" s="193" customFormat="1" ht="66" customHeight="1">
      <c r="A93" s="132" t="s">
        <v>49</v>
      </c>
      <c r="B93" s="133" t="s">
        <v>73</v>
      </c>
      <c r="C93" s="134">
        <f t="shared" ref="C93:F96" si="20">(C89/C81)/3*1000</f>
        <v>13950.566037735849</v>
      </c>
      <c r="D93" s="134">
        <f t="shared" si="20"/>
        <v>15720.94682230869</v>
      </c>
      <c r="E93" s="134">
        <f t="shared" si="20"/>
        <v>15749.360146252284</v>
      </c>
      <c r="F93" s="134">
        <f t="shared" si="20"/>
        <v>15720.94682230869</v>
      </c>
      <c r="G93" s="135" t="s">
        <v>130</v>
      </c>
      <c r="H93" s="129" t="s">
        <v>130</v>
      </c>
      <c r="I93" s="155"/>
      <c r="M93" s="144"/>
      <c r="N93" s="145"/>
      <c r="O93" s="154"/>
      <c r="P93" s="154"/>
      <c r="Q93" s="154"/>
      <c r="R93" s="154"/>
    </row>
    <row r="94" spans="1:18" ht="27.75" customHeight="1">
      <c r="A94" s="124" t="s">
        <v>21</v>
      </c>
      <c r="B94" s="191">
        <v>8031</v>
      </c>
      <c r="C94" s="137">
        <f t="shared" si="20"/>
        <v>64100.000000000007</v>
      </c>
      <c r="D94" s="137">
        <f>(D90/D82)/3*1000</f>
        <v>67733.333333333328</v>
      </c>
      <c r="E94" s="137">
        <f t="shared" si="20"/>
        <v>67733.333333333328</v>
      </c>
      <c r="F94" s="137">
        <f>(F90/F82)/3*1000</f>
        <v>67733.333333333328</v>
      </c>
      <c r="G94" s="138" t="s">
        <v>130</v>
      </c>
      <c r="H94" s="127" t="s">
        <v>130</v>
      </c>
      <c r="M94" s="144"/>
      <c r="N94" s="145"/>
      <c r="O94" s="154"/>
      <c r="P94" s="154"/>
      <c r="Q94" s="154"/>
      <c r="R94" s="154"/>
    </row>
    <row r="95" spans="1:18" ht="27.75" customHeight="1">
      <c r="A95" s="124" t="s">
        <v>24</v>
      </c>
      <c r="B95" s="191">
        <v>8032</v>
      </c>
      <c r="C95" s="137">
        <f t="shared" si="20"/>
        <v>9986.2745098039213</v>
      </c>
      <c r="D95" s="137">
        <f t="shared" si="20"/>
        <v>11862.091503267975</v>
      </c>
      <c r="E95" s="137">
        <f t="shared" si="20"/>
        <v>18525.653594771244</v>
      </c>
      <c r="F95" s="137">
        <f t="shared" si="20"/>
        <v>11862.091503267975</v>
      </c>
      <c r="G95" s="138" t="s">
        <v>130</v>
      </c>
      <c r="H95" s="127" t="s">
        <v>130</v>
      </c>
      <c r="M95" s="144"/>
      <c r="N95" s="145"/>
      <c r="O95" s="154"/>
      <c r="P95" s="154"/>
      <c r="Q95" s="154"/>
      <c r="R95" s="154"/>
    </row>
    <row r="96" spans="1:18" ht="27.75" customHeight="1">
      <c r="A96" s="124" t="s">
        <v>22</v>
      </c>
      <c r="B96" s="191">
        <v>8033</v>
      </c>
      <c r="C96" s="137">
        <f t="shared" si="20"/>
        <v>14268.619246861927</v>
      </c>
      <c r="D96" s="137">
        <f t="shared" si="20"/>
        <v>16034.343434343435</v>
      </c>
      <c r="E96" s="137">
        <f t="shared" si="20"/>
        <v>15358.316498316497</v>
      </c>
      <c r="F96" s="137">
        <f t="shared" si="20"/>
        <v>16034.343434343435</v>
      </c>
      <c r="G96" s="138" t="s">
        <v>130</v>
      </c>
      <c r="H96" s="127" t="s">
        <v>130</v>
      </c>
      <c r="M96" s="140"/>
      <c r="N96" s="141"/>
      <c r="O96" s="142"/>
      <c r="P96" s="142"/>
      <c r="Q96" s="142"/>
      <c r="R96" s="142"/>
    </row>
    <row r="97" spans="1:18" s="193" customFormat="1">
      <c r="A97" s="156"/>
      <c r="C97" s="157"/>
      <c r="D97" s="158"/>
      <c r="E97" s="159"/>
      <c r="F97" s="159"/>
      <c r="G97" s="159"/>
      <c r="H97" s="159"/>
      <c r="M97" s="144"/>
      <c r="N97" s="145"/>
      <c r="O97" s="146"/>
      <c r="P97" s="146"/>
      <c r="Q97" s="146"/>
      <c r="R97" s="146"/>
    </row>
    <row r="98" spans="1:18" s="193" customFormat="1">
      <c r="A98" s="156"/>
      <c r="C98" s="157"/>
      <c r="D98" s="158"/>
      <c r="E98" s="159"/>
      <c r="F98" s="159"/>
      <c r="G98" s="159"/>
      <c r="H98" s="159"/>
      <c r="M98" s="144"/>
      <c r="N98" s="145"/>
      <c r="O98" s="146"/>
      <c r="P98" s="146"/>
      <c r="Q98" s="146"/>
      <c r="R98" s="146"/>
    </row>
    <row r="99" spans="1:18" s="193" customFormat="1" ht="28.5" customHeight="1">
      <c r="A99" s="202" t="s">
        <v>212</v>
      </c>
      <c r="B99" s="160"/>
      <c r="C99" s="207"/>
      <c r="D99" s="208"/>
      <c r="E99" s="161"/>
      <c r="F99" s="161"/>
      <c r="G99" s="213" t="s">
        <v>185</v>
      </c>
      <c r="H99" s="213"/>
      <c r="I99" s="28"/>
      <c r="M99" s="144"/>
      <c r="N99" s="145"/>
      <c r="O99" s="146"/>
      <c r="P99" s="146"/>
      <c r="Q99" s="146"/>
      <c r="R99" s="146"/>
    </row>
    <row r="100" spans="1:18" s="193" customFormat="1">
      <c r="A100" s="193" t="s">
        <v>10</v>
      </c>
      <c r="B100" s="105"/>
      <c r="C100" s="205" t="s">
        <v>11</v>
      </c>
      <c r="D100" s="205"/>
      <c r="E100" s="194"/>
      <c r="F100" s="194"/>
      <c r="G100" s="206" t="s">
        <v>16</v>
      </c>
      <c r="H100" s="206"/>
    </row>
    <row r="101" spans="1:18" s="193" customFormat="1">
      <c r="A101" s="162"/>
      <c r="E101" s="105"/>
      <c r="F101" s="105"/>
      <c r="G101" s="105"/>
      <c r="H101" s="105"/>
    </row>
    <row r="102" spans="1:18" s="193" customFormat="1">
      <c r="A102" s="162"/>
      <c r="E102" s="105"/>
      <c r="F102" s="105"/>
      <c r="G102" s="105"/>
      <c r="H102" s="105"/>
    </row>
    <row r="103" spans="1:18" s="193" customFormat="1">
      <c r="A103" s="162"/>
      <c r="E103" s="105"/>
      <c r="F103" s="105"/>
      <c r="G103" s="105"/>
      <c r="H103" s="105"/>
    </row>
    <row r="104" spans="1:18" s="193" customFormat="1">
      <c r="A104" s="162"/>
      <c r="E104" s="105"/>
      <c r="F104" s="105"/>
      <c r="G104" s="105"/>
      <c r="H104" s="105"/>
    </row>
    <row r="105" spans="1:18" s="193" customFormat="1">
      <c r="A105" s="162"/>
      <c r="E105" s="105"/>
      <c r="F105" s="105"/>
      <c r="G105" s="105"/>
      <c r="H105" s="105"/>
    </row>
    <row r="106" spans="1:18" s="193" customFormat="1">
      <c r="A106" s="162"/>
      <c r="E106" s="105"/>
      <c r="F106" s="105"/>
      <c r="G106" s="105"/>
      <c r="H106" s="105"/>
    </row>
    <row r="107" spans="1:18" s="193" customFormat="1">
      <c r="A107" s="162"/>
      <c r="E107" s="105"/>
      <c r="F107" s="105"/>
      <c r="G107" s="105"/>
      <c r="H107" s="105"/>
    </row>
    <row r="108" spans="1:18" s="193" customFormat="1">
      <c r="A108" s="162"/>
      <c r="E108" s="105"/>
      <c r="F108" s="105"/>
      <c r="G108" s="105"/>
      <c r="H108" s="105"/>
    </row>
    <row r="109" spans="1:18" s="193" customFormat="1">
      <c r="A109" s="162"/>
      <c r="E109" s="105"/>
      <c r="F109" s="105"/>
      <c r="G109" s="105"/>
      <c r="H109" s="105"/>
    </row>
    <row r="110" spans="1:18" s="193" customFormat="1">
      <c r="A110" s="162"/>
      <c r="E110" s="105"/>
      <c r="F110" s="105"/>
      <c r="G110" s="105"/>
      <c r="H110" s="105"/>
    </row>
    <row r="111" spans="1:18" s="193" customFormat="1">
      <c r="A111" s="162"/>
      <c r="E111" s="105"/>
      <c r="F111" s="105"/>
      <c r="G111" s="105"/>
      <c r="H111" s="105"/>
    </row>
    <row r="112" spans="1:18" s="193" customFormat="1">
      <c r="A112" s="162"/>
      <c r="E112" s="105"/>
      <c r="F112" s="105"/>
      <c r="G112" s="105"/>
      <c r="H112" s="105"/>
    </row>
    <row r="113" spans="1:8" s="193" customFormat="1">
      <c r="A113" s="162"/>
      <c r="E113" s="105"/>
      <c r="F113" s="105"/>
      <c r="G113" s="105"/>
      <c r="H113" s="105"/>
    </row>
    <row r="114" spans="1:8" s="193" customFormat="1">
      <c r="A114" s="162"/>
      <c r="E114" s="105"/>
      <c r="F114" s="105"/>
      <c r="G114" s="105"/>
      <c r="H114" s="105"/>
    </row>
    <row r="115" spans="1:8" s="193" customFormat="1">
      <c r="A115" s="162"/>
      <c r="E115" s="105"/>
      <c r="F115" s="105"/>
      <c r="G115" s="105"/>
      <c r="H115" s="105"/>
    </row>
    <row r="116" spans="1:8" s="193" customFormat="1">
      <c r="A116" s="162"/>
      <c r="E116" s="105"/>
      <c r="F116" s="105"/>
      <c r="G116" s="105"/>
      <c r="H116" s="105"/>
    </row>
    <row r="117" spans="1:8" s="193" customFormat="1">
      <c r="A117" s="162"/>
      <c r="E117" s="105"/>
      <c r="F117" s="105"/>
      <c r="G117" s="105"/>
      <c r="H117" s="105"/>
    </row>
    <row r="118" spans="1:8" s="193" customFormat="1">
      <c r="A118" s="162"/>
      <c r="E118" s="105"/>
      <c r="F118" s="105"/>
      <c r="G118" s="105"/>
      <c r="H118" s="105"/>
    </row>
    <row r="119" spans="1:8" s="193" customFormat="1">
      <c r="A119" s="162"/>
      <c r="E119" s="105"/>
      <c r="F119" s="105"/>
      <c r="G119" s="105"/>
      <c r="H119" s="105"/>
    </row>
    <row r="120" spans="1:8" s="193" customFormat="1">
      <c r="A120" s="162"/>
      <c r="E120" s="105"/>
      <c r="F120" s="105"/>
      <c r="G120" s="105"/>
      <c r="H120" s="105"/>
    </row>
    <row r="121" spans="1:8" s="193" customFormat="1">
      <c r="A121" s="162"/>
      <c r="E121" s="105"/>
      <c r="F121" s="105"/>
      <c r="G121" s="105"/>
      <c r="H121" s="105"/>
    </row>
    <row r="122" spans="1:8" s="193" customFormat="1">
      <c r="A122" s="162"/>
      <c r="E122" s="105"/>
      <c r="F122" s="105"/>
      <c r="G122" s="105"/>
      <c r="H122" s="105"/>
    </row>
    <row r="123" spans="1:8" s="193" customFormat="1">
      <c r="A123" s="162"/>
      <c r="E123" s="105"/>
      <c r="F123" s="105"/>
      <c r="G123" s="105"/>
      <c r="H123" s="105"/>
    </row>
    <row r="124" spans="1:8" s="193" customFormat="1">
      <c r="A124" s="162"/>
      <c r="E124" s="105"/>
      <c r="F124" s="105"/>
      <c r="G124" s="105"/>
      <c r="H124" s="105"/>
    </row>
    <row r="125" spans="1:8" s="193" customFormat="1">
      <c r="A125" s="162"/>
      <c r="E125" s="105"/>
      <c r="F125" s="105"/>
      <c r="G125" s="105"/>
      <c r="H125" s="105"/>
    </row>
    <row r="126" spans="1:8" s="193" customFormat="1">
      <c r="A126" s="162"/>
      <c r="E126" s="105"/>
      <c r="F126" s="105"/>
      <c r="G126" s="105"/>
      <c r="H126" s="105"/>
    </row>
    <row r="127" spans="1:8" s="193" customFormat="1">
      <c r="A127" s="162"/>
      <c r="E127" s="105"/>
      <c r="F127" s="105"/>
      <c r="G127" s="105"/>
      <c r="H127" s="105"/>
    </row>
    <row r="128" spans="1:8" s="193" customFormat="1">
      <c r="A128" s="162"/>
      <c r="E128" s="105"/>
      <c r="F128" s="105"/>
      <c r="G128" s="105"/>
      <c r="H128" s="105"/>
    </row>
    <row r="129" spans="1:8" s="193" customFormat="1">
      <c r="A129" s="162"/>
      <c r="E129" s="105"/>
      <c r="F129" s="105"/>
      <c r="G129" s="105"/>
      <c r="H129" s="105"/>
    </row>
    <row r="130" spans="1:8" s="193" customFormat="1">
      <c r="A130" s="162"/>
      <c r="E130" s="105"/>
      <c r="F130" s="105"/>
      <c r="G130" s="105"/>
      <c r="H130" s="105"/>
    </row>
    <row r="131" spans="1:8" s="193" customFormat="1">
      <c r="A131" s="162"/>
      <c r="E131" s="105"/>
      <c r="F131" s="105"/>
      <c r="G131" s="105"/>
      <c r="H131" s="105"/>
    </row>
    <row r="132" spans="1:8" s="193" customFormat="1">
      <c r="A132" s="162"/>
      <c r="E132" s="105"/>
      <c r="F132" s="105"/>
      <c r="G132" s="105"/>
      <c r="H132" s="105"/>
    </row>
    <row r="133" spans="1:8" s="193" customFormat="1">
      <c r="A133" s="162"/>
      <c r="E133" s="105"/>
      <c r="F133" s="105"/>
      <c r="G133" s="105"/>
      <c r="H133" s="105"/>
    </row>
    <row r="134" spans="1:8" s="193" customFormat="1">
      <c r="A134" s="162"/>
      <c r="E134" s="105"/>
      <c r="F134" s="105"/>
      <c r="G134" s="105"/>
      <c r="H134" s="105"/>
    </row>
    <row r="135" spans="1:8" s="193" customFormat="1">
      <c r="A135" s="162"/>
      <c r="E135" s="105"/>
      <c r="F135" s="105"/>
      <c r="G135" s="105"/>
      <c r="H135" s="105"/>
    </row>
    <row r="136" spans="1:8" s="193" customFormat="1">
      <c r="A136" s="162"/>
      <c r="E136" s="105"/>
      <c r="F136" s="105"/>
      <c r="G136" s="105"/>
      <c r="H136" s="105"/>
    </row>
    <row r="137" spans="1:8" s="193" customFormat="1">
      <c r="A137" s="162"/>
      <c r="E137" s="105"/>
      <c r="F137" s="105"/>
      <c r="G137" s="105"/>
      <c r="H137" s="105"/>
    </row>
    <row r="138" spans="1:8" s="193" customFormat="1">
      <c r="A138" s="162"/>
      <c r="E138" s="105"/>
      <c r="F138" s="105"/>
      <c r="G138" s="105"/>
      <c r="H138" s="105"/>
    </row>
    <row r="139" spans="1:8" s="193" customFormat="1">
      <c r="A139" s="162"/>
      <c r="E139" s="105"/>
      <c r="F139" s="105"/>
      <c r="G139" s="105"/>
      <c r="H139" s="105"/>
    </row>
    <row r="140" spans="1:8" s="193" customFormat="1">
      <c r="A140" s="162"/>
      <c r="E140" s="105"/>
      <c r="F140" s="105"/>
      <c r="G140" s="105"/>
      <c r="H140" s="105"/>
    </row>
    <row r="141" spans="1:8" s="193" customFormat="1">
      <c r="A141" s="162"/>
      <c r="E141" s="105"/>
      <c r="F141" s="105"/>
      <c r="G141" s="105"/>
      <c r="H141" s="105"/>
    </row>
    <row r="142" spans="1:8" s="193" customFormat="1">
      <c r="A142" s="162"/>
      <c r="E142" s="105"/>
      <c r="F142" s="105"/>
      <c r="G142" s="105"/>
      <c r="H142" s="105"/>
    </row>
    <row r="143" spans="1:8" s="193" customFormat="1">
      <c r="A143" s="162"/>
      <c r="E143" s="105"/>
      <c r="F143" s="105"/>
      <c r="G143" s="105"/>
      <c r="H143" s="105"/>
    </row>
    <row r="144" spans="1:8" s="193" customFormat="1">
      <c r="A144" s="162"/>
      <c r="E144" s="105"/>
      <c r="F144" s="105"/>
      <c r="G144" s="105"/>
      <c r="H144" s="105"/>
    </row>
    <row r="145" spans="1:8" s="193" customFormat="1">
      <c r="A145" s="162"/>
      <c r="E145" s="105"/>
      <c r="F145" s="105"/>
      <c r="G145" s="105"/>
      <c r="H145" s="105"/>
    </row>
    <row r="146" spans="1:8" s="193" customFormat="1">
      <c r="A146" s="162"/>
      <c r="E146" s="105"/>
      <c r="F146" s="105"/>
      <c r="G146" s="105"/>
      <c r="H146" s="105"/>
    </row>
    <row r="147" spans="1:8" s="193" customFormat="1">
      <c r="A147" s="162"/>
      <c r="E147" s="105"/>
      <c r="F147" s="105"/>
      <c r="G147" s="105"/>
      <c r="H147" s="105"/>
    </row>
    <row r="148" spans="1:8" s="193" customFormat="1">
      <c r="A148" s="162"/>
      <c r="E148" s="105"/>
      <c r="F148" s="105"/>
      <c r="G148" s="105"/>
      <c r="H148" s="105"/>
    </row>
    <row r="149" spans="1:8" s="193" customFormat="1">
      <c r="A149" s="162"/>
      <c r="E149" s="105"/>
      <c r="F149" s="105"/>
      <c r="G149" s="105"/>
      <c r="H149" s="105"/>
    </row>
    <row r="150" spans="1:8" s="193" customFormat="1">
      <c r="A150" s="162"/>
      <c r="E150" s="105"/>
      <c r="F150" s="105"/>
      <c r="G150" s="105"/>
      <c r="H150" s="105"/>
    </row>
    <row r="151" spans="1:8" s="193" customFormat="1">
      <c r="A151" s="162"/>
      <c r="E151" s="105"/>
      <c r="F151" s="105"/>
      <c r="G151" s="105"/>
      <c r="H151" s="105"/>
    </row>
    <row r="152" spans="1:8" s="193" customFormat="1">
      <c r="A152" s="162"/>
      <c r="E152" s="105"/>
      <c r="F152" s="105"/>
      <c r="G152" s="105"/>
      <c r="H152" s="105"/>
    </row>
    <row r="153" spans="1:8" s="193" customFormat="1">
      <c r="A153" s="162"/>
      <c r="E153" s="105"/>
      <c r="F153" s="105"/>
      <c r="G153" s="105"/>
      <c r="H153" s="105"/>
    </row>
    <row r="154" spans="1:8" s="193" customFormat="1">
      <c r="A154" s="162"/>
      <c r="E154" s="105"/>
      <c r="F154" s="105"/>
      <c r="G154" s="105"/>
      <c r="H154" s="105"/>
    </row>
    <row r="155" spans="1:8" s="193" customFormat="1">
      <c r="A155" s="162"/>
      <c r="E155" s="105"/>
      <c r="F155" s="105"/>
      <c r="G155" s="105"/>
      <c r="H155" s="105"/>
    </row>
    <row r="156" spans="1:8" s="193" customFormat="1">
      <c r="A156" s="162"/>
      <c r="E156" s="105"/>
      <c r="F156" s="105"/>
      <c r="G156" s="105"/>
      <c r="H156" s="105"/>
    </row>
    <row r="157" spans="1:8" s="193" customFormat="1">
      <c r="A157" s="162"/>
      <c r="E157" s="105"/>
      <c r="F157" s="105"/>
      <c r="G157" s="105"/>
      <c r="H157" s="105"/>
    </row>
    <row r="158" spans="1:8" s="193" customFormat="1">
      <c r="A158" s="162"/>
      <c r="E158" s="105"/>
      <c r="F158" s="105"/>
      <c r="G158" s="105"/>
      <c r="H158" s="105"/>
    </row>
    <row r="159" spans="1:8" s="193" customFormat="1">
      <c r="A159" s="162"/>
      <c r="E159" s="105"/>
      <c r="F159" s="105"/>
      <c r="G159" s="105"/>
      <c r="H159" s="105"/>
    </row>
    <row r="160" spans="1:8" s="193" customFormat="1">
      <c r="A160" s="162"/>
      <c r="E160" s="105"/>
      <c r="F160" s="105"/>
      <c r="G160" s="105"/>
      <c r="H160" s="105"/>
    </row>
    <row r="161" spans="1:8" s="193" customFormat="1">
      <c r="A161" s="162"/>
      <c r="E161" s="105"/>
      <c r="F161" s="105"/>
      <c r="G161" s="105"/>
      <c r="H161" s="105"/>
    </row>
    <row r="162" spans="1:8" s="193" customFormat="1">
      <c r="A162" s="162"/>
      <c r="E162" s="105"/>
      <c r="F162" s="105"/>
      <c r="G162" s="105"/>
      <c r="H162" s="105"/>
    </row>
    <row r="163" spans="1:8" s="193" customFormat="1">
      <c r="A163" s="162"/>
      <c r="E163" s="105"/>
      <c r="F163" s="105"/>
      <c r="G163" s="105"/>
      <c r="H163" s="105"/>
    </row>
    <row r="164" spans="1:8" s="193" customFormat="1">
      <c r="A164" s="162"/>
      <c r="E164" s="105"/>
      <c r="F164" s="105"/>
      <c r="G164" s="105"/>
      <c r="H164" s="105"/>
    </row>
    <row r="165" spans="1:8" s="193" customFormat="1">
      <c r="A165" s="162"/>
      <c r="E165" s="105"/>
      <c r="F165" s="105"/>
      <c r="G165" s="105"/>
      <c r="H165" s="105"/>
    </row>
    <row r="166" spans="1:8" s="193" customFormat="1">
      <c r="A166" s="162"/>
      <c r="E166" s="105"/>
      <c r="F166" s="105"/>
      <c r="G166" s="105"/>
      <c r="H166" s="105"/>
    </row>
    <row r="167" spans="1:8" s="193" customFormat="1">
      <c r="A167" s="162"/>
      <c r="E167" s="105"/>
      <c r="F167" s="105"/>
      <c r="G167" s="105"/>
      <c r="H167" s="105"/>
    </row>
    <row r="168" spans="1:8" s="193" customFormat="1">
      <c r="A168" s="162"/>
      <c r="E168" s="105"/>
      <c r="F168" s="105"/>
      <c r="G168" s="105"/>
      <c r="H168" s="105"/>
    </row>
    <row r="169" spans="1:8" s="193" customFormat="1">
      <c r="A169" s="162"/>
      <c r="E169" s="105"/>
      <c r="F169" s="105"/>
      <c r="G169" s="105"/>
      <c r="H169" s="105"/>
    </row>
    <row r="170" spans="1:8" s="193" customFormat="1">
      <c r="A170" s="162"/>
      <c r="E170" s="105"/>
      <c r="F170" s="105"/>
      <c r="G170" s="105"/>
      <c r="H170" s="105"/>
    </row>
    <row r="171" spans="1:8" s="193" customFormat="1">
      <c r="A171" s="162"/>
      <c r="E171" s="105"/>
      <c r="F171" s="105"/>
      <c r="G171" s="105"/>
      <c r="H171" s="105"/>
    </row>
    <row r="172" spans="1:8" s="193" customFormat="1">
      <c r="A172" s="162"/>
      <c r="E172" s="105"/>
      <c r="F172" s="105"/>
      <c r="G172" s="105"/>
      <c r="H172" s="105"/>
    </row>
    <row r="173" spans="1:8" s="193" customFormat="1">
      <c r="A173" s="162"/>
      <c r="E173" s="105"/>
      <c r="F173" s="105"/>
      <c r="G173" s="105"/>
      <c r="H173" s="105"/>
    </row>
    <row r="174" spans="1:8" s="193" customFormat="1">
      <c r="A174" s="162"/>
      <c r="E174" s="105"/>
      <c r="F174" s="105"/>
      <c r="G174" s="105"/>
      <c r="H174" s="105"/>
    </row>
    <row r="175" spans="1:8" s="193" customFormat="1">
      <c r="A175" s="162"/>
      <c r="E175" s="105"/>
      <c r="F175" s="105"/>
      <c r="G175" s="105"/>
      <c r="H175" s="105"/>
    </row>
    <row r="176" spans="1:8" s="193" customFormat="1">
      <c r="A176" s="162"/>
      <c r="E176" s="105"/>
      <c r="F176" s="105"/>
      <c r="G176" s="105"/>
      <c r="H176" s="105"/>
    </row>
    <row r="177" spans="1:8" s="193" customFormat="1">
      <c r="A177" s="162"/>
      <c r="E177" s="105"/>
      <c r="F177" s="105"/>
      <c r="G177" s="105"/>
      <c r="H177" s="105"/>
    </row>
    <row r="178" spans="1:8" s="193" customFormat="1">
      <c r="A178" s="162"/>
      <c r="E178" s="105"/>
      <c r="F178" s="105"/>
      <c r="G178" s="105"/>
      <c r="H178" s="105"/>
    </row>
    <row r="179" spans="1:8" s="193" customFormat="1">
      <c r="A179" s="162"/>
      <c r="E179" s="105"/>
      <c r="F179" s="105"/>
      <c r="G179" s="105"/>
      <c r="H179" s="105"/>
    </row>
    <row r="180" spans="1:8" s="193" customFormat="1">
      <c r="A180" s="162"/>
      <c r="E180" s="105"/>
      <c r="F180" s="105"/>
      <c r="G180" s="105"/>
      <c r="H180" s="105"/>
    </row>
    <row r="181" spans="1:8" s="193" customFormat="1">
      <c r="A181" s="162"/>
      <c r="E181" s="105"/>
      <c r="F181" s="105"/>
      <c r="G181" s="105"/>
      <c r="H181" s="105"/>
    </row>
    <row r="182" spans="1:8" s="193" customFormat="1">
      <c r="A182" s="162"/>
      <c r="E182" s="105"/>
      <c r="F182" s="105"/>
      <c r="G182" s="105"/>
      <c r="H182" s="105"/>
    </row>
    <row r="183" spans="1:8" s="193" customFormat="1">
      <c r="A183" s="162"/>
      <c r="E183" s="105"/>
      <c r="F183" s="105"/>
      <c r="G183" s="105"/>
      <c r="H183" s="105"/>
    </row>
    <row r="184" spans="1:8" s="193" customFormat="1">
      <c r="A184" s="162"/>
      <c r="E184" s="105"/>
      <c r="F184" s="105"/>
      <c r="G184" s="105"/>
      <c r="H184" s="105"/>
    </row>
    <row r="185" spans="1:8" s="193" customFormat="1">
      <c r="A185" s="162"/>
      <c r="E185" s="105"/>
      <c r="F185" s="105"/>
      <c r="G185" s="105"/>
      <c r="H185" s="105"/>
    </row>
    <row r="186" spans="1:8" s="193" customFormat="1">
      <c r="A186" s="162"/>
      <c r="E186" s="105"/>
      <c r="F186" s="105"/>
      <c r="G186" s="105"/>
      <c r="H186" s="105"/>
    </row>
    <row r="187" spans="1:8" s="193" customFormat="1">
      <c r="A187" s="162"/>
      <c r="E187" s="105"/>
      <c r="F187" s="105"/>
      <c r="G187" s="105"/>
      <c r="H187" s="105"/>
    </row>
    <row r="188" spans="1:8" s="193" customFormat="1">
      <c r="A188" s="162"/>
      <c r="E188" s="105"/>
      <c r="F188" s="105"/>
      <c r="G188" s="105"/>
      <c r="H188" s="105"/>
    </row>
    <row r="189" spans="1:8" s="193" customFormat="1">
      <c r="A189" s="162"/>
      <c r="E189" s="105"/>
      <c r="F189" s="105"/>
      <c r="G189" s="105"/>
      <c r="H189" s="105"/>
    </row>
    <row r="190" spans="1:8" s="193" customFormat="1">
      <c r="A190" s="162"/>
      <c r="E190" s="105"/>
      <c r="F190" s="105"/>
      <c r="G190" s="105"/>
      <c r="H190" s="105"/>
    </row>
    <row r="191" spans="1:8" s="193" customFormat="1">
      <c r="A191" s="162"/>
      <c r="E191" s="105"/>
      <c r="F191" s="105"/>
      <c r="G191" s="105"/>
      <c r="H191" s="105"/>
    </row>
    <row r="192" spans="1:8" s="193" customFormat="1">
      <c r="A192" s="162"/>
      <c r="E192" s="105"/>
      <c r="F192" s="105"/>
      <c r="G192" s="105"/>
      <c r="H192" s="105"/>
    </row>
    <row r="193" spans="1:8" s="193" customFormat="1">
      <c r="A193" s="162"/>
      <c r="E193" s="105"/>
      <c r="F193" s="105"/>
      <c r="G193" s="105"/>
      <c r="H193" s="105"/>
    </row>
    <row r="194" spans="1:8" s="193" customFormat="1">
      <c r="A194" s="162"/>
      <c r="E194" s="105"/>
      <c r="F194" s="105"/>
      <c r="G194" s="105"/>
      <c r="H194" s="105"/>
    </row>
    <row r="195" spans="1:8" s="193" customFormat="1">
      <c r="A195" s="162"/>
      <c r="E195" s="105"/>
      <c r="F195" s="105"/>
      <c r="G195" s="105"/>
      <c r="H195" s="105"/>
    </row>
    <row r="196" spans="1:8" s="193" customFormat="1">
      <c r="A196" s="162"/>
      <c r="E196" s="105"/>
      <c r="F196" s="105"/>
      <c r="G196" s="105"/>
      <c r="H196" s="105"/>
    </row>
    <row r="197" spans="1:8" s="193" customFormat="1">
      <c r="A197" s="162"/>
      <c r="E197" s="105"/>
      <c r="F197" s="105"/>
      <c r="G197" s="105"/>
      <c r="H197" s="105"/>
    </row>
    <row r="198" spans="1:8" s="193" customFormat="1">
      <c r="A198" s="162"/>
      <c r="E198" s="105"/>
      <c r="F198" s="105"/>
      <c r="G198" s="105"/>
      <c r="H198" s="105"/>
    </row>
    <row r="199" spans="1:8" s="193" customFormat="1">
      <c r="A199" s="162"/>
      <c r="E199" s="105"/>
      <c r="F199" s="105"/>
      <c r="G199" s="105"/>
      <c r="H199" s="105"/>
    </row>
    <row r="200" spans="1:8" s="193" customFormat="1">
      <c r="A200" s="162"/>
      <c r="E200" s="105"/>
      <c r="F200" s="105"/>
      <c r="G200" s="105"/>
      <c r="H200" s="105"/>
    </row>
    <row r="201" spans="1:8" s="193" customFormat="1">
      <c r="A201" s="162"/>
      <c r="E201" s="105"/>
      <c r="F201" s="105"/>
      <c r="G201" s="105"/>
      <c r="H201" s="105"/>
    </row>
    <row r="202" spans="1:8" s="193" customFormat="1">
      <c r="A202" s="162"/>
      <c r="E202" s="105"/>
      <c r="F202" s="105"/>
      <c r="G202" s="105"/>
      <c r="H202" s="105"/>
    </row>
    <row r="203" spans="1:8" s="193" customFormat="1">
      <c r="A203" s="162"/>
      <c r="E203" s="105"/>
      <c r="F203" s="105"/>
      <c r="G203" s="105"/>
      <c r="H203" s="105"/>
    </row>
    <row r="204" spans="1:8" s="193" customFormat="1">
      <c r="A204" s="162"/>
      <c r="E204" s="105"/>
      <c r="F204" s="105"/>
      <c r="G204" s="105"/>
      <c r="H204" s="105"/>
    </row>
    <row r="205" spans="1:8" s="193" customFormat="1">
      <c r="A205" s="162"/>
      <c r="E205" s="105"/>
      <c r="F205" s="105"/>
      <c r="G205" s="105"/>
      <c r="H205" s="105"/>
    </row>
    <row r="206" spans="1:8" s="193" customFormat="1">
      <c r="A206" s="162"/>
      <c r="E206" s="105"/>
      <c r="F206" s="105"/>
      <c r="G206" s="105"/>
      <c r="H206" s="105"/>
    </row>
    <row r="207" spans="1:8" s="193" customFormat="1">
      <c r="A207" s="162"/>
      <c r="E207" s="105"/>
      <c r="F207" s="105"/>
      <c r="G207" s="105"/>
      <c r="H207" s="105"/>
    </row>
    <row r="208" spans="1:8" s="193" customFormat="1">
      <c r="A208" s="162"/>
      <c r="E208" s="105"/>
      <c r="F208" s="105"/>
      <c r="G208" s="105"/>
      <c r="H208" s="105"/>
    </row>
    <row r="209" spans="1:8" s="193" customFormat="1">
      <c r="A209" s="162"/>
      <c r="E209" s="105"/>
      <c r="F209" s="105"/>
      <c r="G209" s="105"/>
      <c r="H209" s="105"/>
    </row>
    <row r="210" spans="1:8" s="193" customFormat="1">
      <c r="A210" s="162"/>
      <c r="E210" s="105"/>
      <c r="F210" s="105"/>
      <c r="G210" s="105"/>
      <c r="H210" s="105"/>
    </row>
    <row r="211" spans="1:8" s="193" customFormat="1">
      <c r="A211" s="162"/>
      <c r="E211" s="105"/>
      <c r="F211" s="105"/>
      <c r="G211" s="105"/>
      <c r="H211" s="105"/>
    </row>
    <row r="212" spans="1:8" s="193" customFormat="1">
      <c r="A212" s="162"/>
      <c r="E212" s="105"/>
      <c r="F212" s="105"/>
      <c r="G212" s="105"/>
      <c r="H212" s="105"/>
    </row>
    <row r="213" spans="1:8" s="193" customFormat="1">
      <c r="A213" s="162"/>
      <c r="E213" s="105"/>
      <c r="F213" s="105"/>
      <c r="G213" s="105"/>
      <c r="H213" s="105"/>
    </row>
    <row r="214" spans="1:8" s="193" customFormat="1">
      <c r="A214" s="162"/>
      <c r="E214" s="105"/>
      <c r="F214" s="105"/>
      <c r="G214" s="105"/>
      <c r="H214" s="105"/>
    </row>
    <row r="215" spans="1:8" s="193" customFormat="1">
      <c r="A215" s="162"/>
      <c r="E215" s="105"/>
      <c r="F215" s="105"/>
      <c r="G215" s="105"/>
      <c r="H215" s="105"/>
    </row>
    <row r="216" spans="1:8" s="193" customFormat="1">
      <c r="A216" s="162"/>
      <c r="E216" s="105"/>
      <c r="F216" s="105"/>
      <c r="G216" s="105"/>
      <c r="H216" s="105"/>
    </row>
    <row r="217" spans="1:8" s="193" customFormat="1">
      <c r="A217" s="162"/>
      <c r="E217" s="105"/>
      <c r="F217" s="105"/>
      <c r="G217" s="105"/>
      <c r="H217" s="105"/>
    </row>
    <row r="218" spans="1:8" s="193" customFormat="1">
      <c r="A218" s="162"/>
      <c r="E218" s="105"/>
      <c r="F218" s="105"/>
      <c r="G218" s="105"/>
      <c r="H218" s="105"/>
    </row>
    <row r="219" spans="1:8" s="193" customFormat="1">
      <c r="A219" s="162"/>
      <c r="E219" s="105"/>
      <c r="F219" s="105"/>
      <c r="G219" s="105"/>
      <c r="H219" s="105"/>
    </row>
    <row r="220" spans="1:8" s="193" customFormat="1">
      <c r="A220" s="162"/>
      <c r="E220" s="105"/>
      <c r="F220" s="105"/>
      <c r="G220" s="105"/>
      <c r="H220" s="105"/>
    </row>
    <row r="221" spans="1:8" s="193" customFormat="1">
      <c r="A221" s="162"/>
      <c r="E221" s="105"/>
      <c r="F221" s="105"/>
      <c r="G221" s="105"/>
      <c r="H221" s="105"/>
    </row>
    <row r="222" spans="1:8" s="193" customFormat="1">
      <c r="A222" s="162"/>
      <c r="E222" s="105"/>
      <c r="F222" s="105"/>
      <c r="G222" s="105"/>
      <c r="H222" s="105"/>
    </row>
    <row r="223" spans="1:8" s="193" customFormat="1">
      <c r="A223" s="162"/>
      <c r="E223" s="105"/>
      <c r="F223" s="105"/>
      <c r="G223" s="105"/>
      <c r="H223" s="105"/>
    </row>
    <row r="224" spans="1:8" s="193" customFormat="1">
      <c r="A224" s="162"/>
      <c r="E224" s="105"/>
      <c r="F224" s="105"/>
      <c r="G224" s="105"/>
      <c r="H224" s="105"/>
    </row>
    <row r="225" spans="1:8" s="193" customFormat="1">
      <c r="A225" s="162"/>
      <c r="E225" s="105"/>
      <c r="F225" s="105"/>
      <c r="G225" s="105"/>
      <c r="H225" s="105"/>
    </row>
    <row r="226" spans="1:8" s="193" customFormat="1">
      <c r="A226" s="162"/>
      <c r="E226" s="105"/>
      <c r="F226" s="105"/>
      <c r="G226" s="105"/>
      <c r="H226" s="105"/>
    </row>
    <row r="227" spans="1:8" s="193" customFormat="1">
      <c r="A227" s="162"/>
      <c r="E227" s="105"/>
      <c r="F227" s="105"/>
      <c r="G227" s="105"/>
      <c r="H227" s="105"/>
    </row>
    <row r="228" spans="1:8" s="193" customFormat="1">
      <c r="A228" s="162"/>
      <c r="E228" s="105"/>
      <c r="F228" s="105"/>
      <c r="G228" s="105"/>
      <c r="H228" s="105"/>
    </row>
    <row r="229" spans="1:8" s="193" customFormat="1">
      <c r="A229" s="162"/>
      <c r="E229" s="105"/>
      <c r="F229" s="105"/>
      <c r="G229" s="105"/>
      <c r="H229" s="105"/>
    </row>
    <row r="230" spans="1:8" s="193" customFormat="1">
      <c r="A230" s="162"/>
      <c r="E230" s="105"/>
      <c r="F230" s="105"/>
      <c r="G230" s="105"/>
      <c r="H230" s="105"/>
    </row>
    <row r="231" spans="1:8" s="193" customFormat="1">
      <c r="A231" s="162"/>
      <c r="E231" s="105"/>
      <c r="F231" s="105"/>
      <c r="G231" s="105"/>
      <c r="H231" s="105"/>
    </row>
    <row r="232" spans="1:8" s="193" customFormat="1">
      <c r="A232" s="162"/>
      <c r="E232" s="105"/>
      <c r="F232" s="105"/>
      <c r="G232" s="105"/>
      <c r="H232" s="105"/>
    </row>
    <row r="233" spans="1:8" s="193" customFormat="1">
      <c r="A233" s="162"/>
      <c r="E233" s="105"/>
      <c r="F233" s="105"/>
      <c r="G233" s="105"/>
      <c r="H233" s="105"/>
    </row>
    <row r="234" spans="1:8" s="193" customFormat="1">
      <c r="A234" s="162"/>
      <c r="E234" s="105"/>
      <c r="F234" s="105"/>
      <c r="G234" s="105"/>
      <c r="H234" s="105"/>
    </row>
    <row r="235" spans="1:8" s="193" customFormat="1">
      <c r="A235" s="162"/>
      <c r="E235" s="105"/>
      <c r="F235" s="105"/>
      <c r="G235" s="105"/>
      <c r="H235" s="105"/>
    </row>
    <row r="236" spans="1:8" s="193" customFormat="1">
      <c r="A236" s="162"/>
      <c r="E236" s="105"/>
      <c r="F236" s="105"/>
      <c r="G236" s="105"/>
      <c r="H236" s="105"/>
    </row>
    <row r="237" spans="1:8" s="193" customFormat="1">
      <c r="A237" s="162"/>
      <c r="E237" s="105"/>
      <c r="F237" s="105"/>
      <c r="G237" s="105"/>
      <c r="H237" s="105"/>
    </row>
    <row r="238" spans="1:8" s="193" customFormat="1">
      <c r="A238" s="162"/>
      <c r="E238" s="105"/>
      <c r="F238" s="105"/>
      <c r="G238" s="105"/>
      <c r="H238" s="105"/>
    </row>
    <row r="239" spans="1:8" s="193" customFormat="1">
      <c r="A239" s="162"/>
      <c r="E239" s="105"/>
      <c r="F239" s="105"/>
      <c r="G239" s="105"/>
      <c r="H239" s="105"/>
    </row>
    <row r="240" spans="1:8" s="193" customFormat="1">
      <c r="A240" s="162"/>
      <c r="E240" s="105"/>
      <c r="F240" s="105"/>
      <c r="G240" s="105"/>
      <c r="H240" s="105"/>
    </row>
    <row r="241" spans="1:8" s="193" customFormat="1">
      <c r="A241" s="162"/>
      <c r="E241" s="105"/>
      <c r="F241" s="105"/>
      <c r="G241" s="105"/>
      <c r="H241" s="105"/>
    </row>
    <row r="242" spans="1:8" s="193" customFormat="1">
      <c r="A242" s="162"/>
      <c r="E242" s="105"/>
      <c r="F242" s="105"/>
      <c r="G242" s="105"/>
      <c r="H242" s="105"/>
    </row>
    <row r="243" spans="1:8" s="193" customFormat="1">
      <c r="A243" s="162"/>
      <c r="E243" s="105"/>
      <c r="F243" s="105"/>
      <c r="G243" s="105"/>
      <c r="H243" s="105"/>
    </row>
    <row r="244" spans="1:8" s="193" customFormat="1">
      <c r="A244" s="162"/>
      <c r="E244" s="105"/>
      <c r="F244" s="105"/>
      <c r="G244" s="105"/>
      <c r="H244" s="105"/>
    </row>
    <row r="245" spans="1:8" s="193" customFormat="1">
      <c r="A245" s="162"/>
      <c r="E245" s="105"/>
      <c r="F245" s="105"/>
      <c r="G245" s="105"/>
      <c r="H245" s="105"/>
    </row>
    <row r="246" spans="1:8" s="193" customFormat="1">
      <c r="A246" s="162"/>
      <c r="E246" s="105"/>
      <c r="F246" s="105"/>
      <c r="G246" s="105"/>
      <c r="H246" s="105"/>
    </row>
    <row r="247" spans="1:8" s="193" customFormat="1">
      <c r="A247" s="162"/>
      <c r="E247" s="105"/>
      <c r="F247" s="105"/>
      <c r="G247" s="105"/>
      <c r="H247" s="105"/>
    </row>
    <row r="248" spans="1:8" s="193" customFormat="1">
      <c r="A248" s="162"/>
      <c r="E248" s="105"/>
      <c r="F248" s="105"/>
      <c r="G248" s="105"/>
      <c r="H248" s="105"/>
    </row>
    <row r="249" spans="1:8" s="193" customFormat="1">
      <c r="A249" s="162"/>
      <c r="E249" s="105"/>
      <c r="F249" s="105"/>
      <c r="G249" s="105"/>
      <c r="H249" s="105"/>
    </row>
    <row r="250" spans="1:8" s="193" customFormat="1">
      <c r="A250" s="162"/>
      <c r="E250" s="105"/>
      <c r="F250" s="105"/>
      <c r="G250" s="105"/>
      <c r="H250" s="105"/>
    </row>
    <row r="251" spans="1:8" s="193" customFormat="1">
      <c r="A251" s="162"/>
      <c r="E251" s="105"/>
      <c r="F251" s="105"/>
      <c r="G251" s="105"/>
      <c r="H251" s="105"/>
    </row>
  </sheetData>
  <mergeCells count="17">
    <mergeCell ref="A44:H44"/>
    <mergeCell ref="A2:H2"/>
    <mergeCell ref="A1:H1"/>
    <mergeCell ref="A4:A5"/>
    <mergeCell ref="B4:B5"/>
    <mergeCell ref="A7:H7"/>
    <mergeCell ref="E4:H4"/>
    <mergeCell ref="C4:D4"/>
    <mergeCell ref="C100:D100"/>
    <mergeCell ref="G100:H100"/>
    <mergeCell ref="C99:D99"/>
    <mergeCell ref="A78:H78"/>
    <mergeCell ref="A51:H51"/>
    <mergeCell ref="A69:H69"/>
    <mergeCell ref="C79:D79"/>
    <mergeCell ref="E79:H79"/>
    <mergeCell ref="G99:H99"/>
  </mergeCells>
  <phoneticPr fontId="4" type="noConversion"/>
  <pageMargins left="0.39370078740157483" right="0.39370078740157483" top="0.78740157480314965" bottom="0.39370078740157483" header="0.39370078740157483" footer="0.19685039370078741"/>
  <pageSetup paperSize="9" scale="70" fitToHeight="7" orientation="landscape" verticalDpi="300" r:id="rId1"/>
  <headerFooter alignWithMargins="0"/>
  <ignoredErrors>
    <ignoredError sqref="B81:B8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2:AD311"/>
  <sheetViews>
    <sheetView view="pageBreakPreview" topLeftCell="A58" zoomScale="70" zoomScaleSheetLayoutView="70" workbookViewId="0">
      <selection activeCell="H101" sqref="H101"/>
    </sheetView>
  </sheetViews>
  <sheetFormatPr defaultRowHeight="18.75"/>
  <cols>
    <col min="1" max="1" width="9.140625" style="2"/>
    <col min="2" max="2" width="58" style="2" customWidth="1"/>
    <col min="3" max="3" width="13.42578125" style="199" customWidth="1"/>
    <col min="4" max="4" width="18.28515625" style="199" customWidth="1"/>
    <col min="5" max="5" width="18.5703125" style="199" customWidth="1"/>
    <col min="6" max="6" width="17.85546875" style="199" customWidth="1"/>
    <col min="7" max="7" width="18.28515625" style="2" customWidth="1"/>
    <col min="8" max="8" width="19.28515625" style="2" customWidth="1"/>
    <col min="9" max="9" width="23.85546875" style="176" customWidth="1"/>
    <col min="10" max="10" width="18" style="2" customWidth="1"/>
    <col min="11" max="11" width="17.28515625" style="2" customWidth="1"/>
    <col min="12" max="12" width="22.140625" style="2" customWidth="1"/>
    <col min="13" max="13" width="16.7109375" style="2" bestFit="1" customWidth="1"/>
    <col min="14" max="14" width="10.5703125" style="2" bestFit="1" customWidth="1"/>
    <col min="15" max="15" width="14.7109375" style="2" bestFit="1" customWidth="1"/>
    <col min="16" max="18" width="9.140625" style="2"/>
    <col min="19" max="19" width="11.5703125" style="2" bestFit="1" customWidth="1"/>
    <col min="20" max="20" width="9.140625" style="2"/>
    <col min="21" max="21" width="11.5703125" style="2" bestFit="1" customWidth="1"/>
    <col min="22" max="16384" width="9.140625" style="2"/>
  </cols>
  <sheetData>
    <row r="2" spans="1:13" ht="20.25">
      <c r="B2" s="220" t="s">
        <v>102</v>
      </c>
      <c r="C2" s="220"/>
      <c r="D2" s="220"/>
      <c r="E2" s="220"/>
      <c r="F2" s="220"/>
    </row>
    <row r="3" spans="1:13">
      <c r="B3" s="200"/>
      <c r="C3" s="3"/>
      <c r="D3" s="200"/>
      <c r="E3" s="200"/>
      <c r="F3" s="200"/>
      <c r="H3" s="2" t="s">
        <v>65</v>
      </c>
    </row>
    <row r="4" spans="1:13" ht="73.5" customHeight="1">
      <c r="A4" s="4" t="s">
        <v>76</v>
      </c>
      <c r="B4" s="4" t="s">
        <v>23</v>
      </c>
      <c r="C4" s="12" t="s">
        <v>5</v>
      </c>
      <c r="D4" s="12" t="s">
        <v>331</v>
      </c>
      <c r="E4" s="12" t="s">
        <v>330</v>
      </c>
      <c r="F4" s="12" t="s">
        <v>329</v>
      </c>
      <c r="G4" s="12" t="s">
        <v>111</v>
      </c>
      <c r="H4" s="12" t="s">
        <v>113</v>
      </c>
    </row>
    <row r="5" spans="1:13" ht="30.75" customHeight="1">
      <c r="A5" s="4">
        <v>1</v>
      </c>
      <c r="B5" s="4">
        <v>2</v>
      </c>
      <c r="C5" s="12">
        <v>3</v>
      </c>
      <c r="D5" s="12">
        <v>4</v>
      </c>
      <c r="E5" s="12">
        <v>5</v>
      </c>
      <c r="F5" s="12">
        <v>6</v>
      </c>
      <c r="G5" s="4">
        <v>7</v>
      </c>
      <c r="H5" s="4">
        <v>8</v>
      </c>
    </row>
    <row r="6" spans="1:13" ht="30.75" customHeight="1">
      <c r="A6" s="223" t="s">
        <v>75</v>
      </c>
      <c r="B6" s="223"/>
      <c r="C6" s="12"/>
      <c r="D6" s="13">
        <f>D7+D10+D16+D18</f>
        <v>44555.200000000004</v>
      </c>
      <c r="E6" s="13">
        <f>E7+E10+E16+E18</f>
        <v>48947.4</v>
      </c>
      <c r="F6" s="13">
        <f>F7+F10+F16+F18</f>
        <v>49516.100000000006</v>
      </c>
      <c r="G6" s="19">
        <f>F6-E6</f>
        <v>568.70000000000437</v>
      </c>
      <c r="H6" s="174">
        <f>(F6/E6)*100</f>
        <v>101.16185946546703</v>
      </c>
      <c r="I6" s="177"/>
      <c r="J6" s="20"/>
      <c r="K6" s="20"/>
      <c r="L6" s="20"/>
    </row>
    <row r="7" spans="1:13" ht="45" customHeight="1">
      <c r="A7" s="224" t="s">
        <v>74</v>
      </c>
      <c r="B7" s="224"/>
      <c r="C7" s="166">
        <v>1000</v>
      </c>
      <c r="D7" s="14">
        <f>SUM(D8:D9)</f>
        <v>35288</v>
      </c>
      <c r="E7" s="14">
        <f>SUM(E8:E9)</f>
        <v>40585</v>
      </c>
      <c r="F7" s="14">
        <f>SUM(F8:F9)</f>
        <v>37596.200000000004</v>
      </c>
      <c r="G7" s="19">
        <f>F7-E7</f>
        <v>-2988.7999999999956</v>
      </c>
      <c r="H7" s="19">
        <f>(F7/E7)*100</f>
        <v>92.635702845879024</v>
      </c>
      <c r="K7" s="20"/>
    </row>
    <row r="8" spans="1:13" ht="45" customHeight="1">
      <c r="A8" s="16">
        <v>1</v>
      </c>
      <c r="B8" s="17" t="s">
        <v>186</v>
      </c>
      <c r="C8" s="166"/>
      <c r="D8" s="18">
        <v>34765.699999999997</v>
      </c>
      <c r="E8" s="18">
        <v>39815.300000000003</v>
      </c>
      <c r="F8" s="18">
        <v>37451.4</v>
      </c>
      <c r="G8" s="15">
        <f>F8-E8</f>
        <v>-2363.9000000000015</v>
      </c>
      <c r="H8" s="15">
        <f>(F8/E8)*100</f>
        <v>94.062835141264785</v>
      </c>
      <c r="J8" s="20"/>
      <c r="L8" s="20"/>
      <c r="M8" s="20"/>
    </row>
    <row r="9" spans="1:13" ht="30" customHeight="1">
      <c r="A9" s="16">
        <v>2</v>
      </c>
      <c r="B9" s="17" t="s">
        <v>238</v>
      </c>
      <c r="C9" s="166"/>
      <c r="D9" s="18">
        <v>522.29999999999995</v>
      </c>
      <c r="E9" s="18">
        <v>769.7</v>
      </c>
      <c r="F9" s="18">
        <v>144.80000000000001</v>
      </c>
      <c r="G9" s="15">
        <f t="shared" ref="G9:G20" si="0">F9-E9</f>
        <v>-624.90000000000009</v>
      </c>
      <c r="H9" s="15">
        <f t="shared" ref="H9:H20" si="1">(F9/E9)*100</f>
        <v>18.812524360140316</v>
      </c>
    </row>
    <row r="10" spans="1:13" ht="30.75" customHeight="1">
      <c r="A10" s="266" t="s">
        <v>35</v>
      </c>
      <c r="B10" s="266"/>
      <c r="C10" s="166">
        <v>1040</v>
      </c>
      <c r="D10" s="14">
        <f>SUM(D11:D15)</f>
        <v>7026.8</v>
      </c>
      <c r="E10" s="14">
        <f>SUM(E11:E15)</f>
        <v>5207.4000000000005</v>
      </c>
      <c r="F10" s="14">
        <f>SUM(F11:F15)</f>
        <v>8887.9</v>
      </c>
      <c r="G10" s="19">
        <f t="shared" si="0"/>
        <v>3680.4999999999991</v>
      </c>
      <c r="H10" s="19">
        <f t="shared" si="1"/>
        <v>170.6782655451857</v>
      </c>
      <c r="J10" s="51"/>
    </row>
    <row r="11" spans="1:13" ht="48" customHeight="1">
      <c r="A11" s="16">
        <v>1</v>
      </c>
      <c r="B11" s="17" t="s">
        <v>217</v>
      </c>
      <c r="C11" s="166"/>
      <c r="D11" s="18">
        <v>4801.7</v>
      </c>
      <c r="E11" s="18">
        <v>5176.1000000000004</v>
      </c>
      <c r="F11" s="18">
        <v>5176.2</v>
      </c>
      <c r="G11" s="15">
        <f t="shared" si="0"/>
        <v>9.9999999999454303E-2</v>
      </c>
      <c r="H11" s="15">
        <f t="shared" si="1"/>
        <v>100.00193195649234</v>
      </c>
      <c r="I11" s="177"/>
      <c r="J11" s="20"/>
    </row>
    <row r="12" spans="1:13" ht="48" customHeight="1">
      <c r="A12" s="16">
        <v>2</v>
      </c>
      <c r="B12" s="17" t="s">
        <v>414</v>
      </c>
      <c r="C12" s="166"/>
      <c r="D12" s="18">
        <v>759.2</v>
      </c>
      <c r="E12" s="18"/>
      <c r="F12" s="18">
        <v>2778.2</v>
      </c>
      <c r="G12" s="15">
        <f t="shared" si="0"/>
        <v>2778.2</v>
      </c>
      <c r="H12" s="53" t="e">
        <f t="shared" si="1"/>
        <v>#DIV/0!</v>
      </c>
      <c r="J12" s="20"/>
    </row>
    <row r="13" spans="1:13" ht="32.25" customHeight="1">
      <c r="A13" s="16">
        <v>3</v>
      </c>
      <c r="B13" s="17" t="s">
        <v>187</v>
      </c>
      <c r="C13" s="166"/>
      <c r="D13" s="18">
        <v>29.8</v>
      </c>
      <c r="E13" s="18">
        <v>31.3</v>
      </c>
      <c r="F13" s="18">
        <v>75.5</v>
      </c>
      <c r="G13" s="15">
        <f t="shared" si="0"/>
        <v>44.2</v>
      </c>
      <c r="H13" s="15">
        <f t="shared" si="1"/>
        <v>241.21405750798721</v>
      </c>
    </row>
    <row r="14" spans="1:13" ht="33" customHeight="1">
      <c r="A14" s="16">
        <v>4</v>
      </c>
      <c r="B14" s="17" t="s">
        <v>188</v>
      </c>
      <c r="C14" s="166"/>
      <c r="D14" s="18">
        <v>188.8</v>
      </c>
      <c r="E14" s="18"/>
      <c r="F14" s="18">
        <v>104.1</v>
      </c>
      <c r="G14" s="15">
        <f t="shared" si="0"/>
        <v>104.1</v>
      </c>
      <c r="H14" s="53" t="e">
        <f t="shared" si="1"/>
        <v>#DIV/0!</v>
      </c>
      <c r="J14" s="20"/>
    </row>
    <row r="15" spans="1:13" ht="30.75" customHeight="1">
      <c r="A15" s="16">
        <v>5</v>
      </c>
      <c r="B15" s="17" t="s">
        <v>189</v>
      </c>
      <c r="C15" s="166"/>
      <c r="D15" s="18">
        <v>1247.3</v>
      </c>
      <c r="E15" s="18"/>
      <c r="F15" s="18">
        <v>753.9</v>
      </c>
      <c r="G15" s="15">
        <f t="shared" si="0"/>
        <v>753.9</v>
      </c>
      <c r="H15" s="53" t="e">
        <f t="shared" si="1"/>
        <v>#DIV/0!</v>
      </c>
      <c r="I15" s="177"/>
      <c r="J15" s="20"/>
    </row>
    <row r="16" spans="1:13" ht="30.75" customHeight="1">
      <c r="A16" s="266" t="s">
        <v>77</v>
      </c>
      <c r="B16" s="266"/>
      <c r="C16" s="166">
        <v>1130</v>
      </c>
      <c r="D16" s="14">
        <f>D17</f>
        <v>269.8</v>
      </c>
      <c r="E16" s="14">
        <f>E17</f>
        <v>405</v>
      </c>
      <c r="F16" s="14">
        <f>F17</f>
        <v>629.1</v>
      </c>
      <c r="G16" s="19">
        <f t="shared" si="0"/>
        <v>224.10000000000002</v>
      </c>
      <c r="H16" s="19">
        <f t="shared" si="1"/>
        <v>155.33333333333334</v>
      </c>
    </row>
    <row r="17" spans="1:30" ht="45" customHeight="1">
      <c r="A17" s="16">
        <v>1</v>
      </c>
      <c r="B17" s="21" t="s">
        <v>190</v>
      </c>
      <c r="C17" s="12"/>
      <c r="D17" s="18">
        <v>269.8</v>
      </c>
      <c r="E17" s="18">
        <v>405</v>
      </c>
      <c r="F17" s="18">
        <v>629.1</v>
      </c>
      <c r="G17" s="15">
        <f t="shared" si="0"/>
        <v>224.10000000000002</v>
      </c>
      <c r="H17" s="15">
        <f t="shared" si="1"/>
        <v>155.33333333333334</v>
      </c>
    </row>
    <row r="18" spans="1:30" ht="30.75" customHeight="1">
      <c r="A18" s="266" t="s">
        <v>27</v>
      </c>
      <c r="B18" s="266"/>
      <c r="C18" s="166">
        <v>1150</v>
      </c>
      <c r="D18" s="14">
        <f>SUM(D19:D20)</f>
        <v>1970.6000000000001</v>
      </c>
      <c r="E18" s="14">
        <f>SUM(E20:E20)</f>
        <v>2750</v>
      </c>
      <c r="F18" s="14">
        <f>SUM(F19:F20)</f>
        <v>2402.9</v>
      </c>
      <c r="G18" s="19">
        <f t="shared" si="0"/>
        <v>-347.09999999999991</v>
      </c>
      <c r="H18" s="19">
        <f t="shared" si="1"/>
        <v>87.378181818181815</v>
      </c>
      <c r="I18" s="177"/>
      <c r="J18" s="20"/>
    </row>
    <row r="19" spans="1:30" ht="45" customHeight="1">
      <c r="A19" s="4">
        <v>1</v>
      </c>
      <c r="B19" s="21" t="s">
        <v>326</v>
      </c>
      <c r="C19" s="166"/>
      <c r="D19" s="18">
        <v>5.9</v>
      </c>
      <c r="E19" s="18"/>
      <c r="F19" s="18"/>
      <c r="G19" s="15">
        <f t="shared" ref="G19" si="2">F19-E19</f>
        <v>0</v>
      </c>
      <c r="H19" s="53" t="e">
        <f t="shared" ref="H19" si="3">(F19/E19)*100</f>
        <v>#DIV/0!</v>
      </c>
      <c r="I19" s="177"/>
      <c r="J19" s="20"/>
    </row>
    <row r="20" spans="1:30" ht="41.25" customHeight="1">
      <c r="A20" s="4">
        <v>2</v>
      </c>
      <c r="B20" s="17" t="s">
        <v>203</v>
      </c>
      <c r="C20" s="166"/>
      <c r="D20" s="18">
        <v>1964.7</v>
      </c>
      <c r="E20" s="18">
        <v>2750</v>
      </c>
      <c r="F20" s="18">
        <v>2402.9</v>
      </c>
      <c r="G20" s="15">
        <f t="shared" si="0"/>
        <v>-347.09999999999991</v>
      </c>
      <c r="H20" s="15">
        <f t="shared" si="1"/>
        <v>87.378181818181815</v>
      </c>
    </row>
    <row r="21" spans="1:30" ht="35.25" customHeight="1">
      <c r="A21" s="223" t="s">
        <v>78</v>
      </c>
      <c r="B21" s="223"/>
      <c r="C21" s="166"/>
      <c r="D21" s="14"/>
      <c r="E21" s="14"/>
      <c r="F21" s="14"/>
      <c r="G21" s="15"/>
      <c r="H21" s="15"/>
    </row>
    <row r="22" spans="1:30" ht="48" customHeight="1">
      <c r="A22" s="224" t="s">
        <v>79</v>
      </c>
      <c r="B22" s="224"/>
      <c r="C22" s="12"/>
      <c r="D22" s="14"/>
      <c r="E22" s="14"/>
      <c r="F22" s="14"/>
      <c r="G22" s="15"/>
      <c r="H22" s="15"/>
    </row>
    <row r="23" spans="1:30" ht="34.5" customHeight="1">
      <c r="A23" s="267" t="s">
        <v>80</v>
      </c>
      <c r="B23" s="267"/>
      <c r="C23" s="166">
        <v>1011</v>
      </c>
      <c r="D23" s="14">
        <f>SUM(D24:D29)</f>
        <v>8323.7999999999993</v>
      </c>
      <c r="E23" s="14">
        <f>SUM(E24:E29)</f>
        <v>6226</v>
      </c>
      <c r="F23" s="14">
        <f>SUM(F24:F29)</f>
        <v>8056.2</v>
      </c>
      <c r="G23" s="19">
        <f>F23-E23</f>
        <v>1830.1999999999998</v>
      </c>
      <c r="H23" s="19">
        <f>(F23/E23)*100</f>
        <v>129.39608095085126</v>
      </c>
      <c r="I23" s="177"/>
      <c r="J23" s="20"/>
      <c r="K23" s="34"/>
    </row>
    <row r="24" spans="1:30" ht="36" customHeight="1">
      <c r="A24" s="166"/>
      <c r="B24" s="17" t="s">
        <v>176</v>
      </c>
      <c r="C24" s="166"/>
      <c r="D24" s="18">
        <f>'Розшифровка 2 до формування'!D116+'Розшифровка 2 до формування'!D136</f>
        <v>1578.6</v>
      </c>
      <c r="E24" s="111">
        <f>'Розшифровка 2 до формування'!E116+'Розшифровка 2 до формування'!E136</f>
        <v>0</v>
      </c>
      <c r="F24" s="18">
        <f>'Розшифровка 2 до формування'!F116+'Розшифровка 2 до формування'!F136</f>
        <v>62.5</v>
      </c>
      <c r="G24" s="15">
        <f t="shared" ref="G24" si="4">F24-E24</f>
        <v>62.5</v>
      </c>
      <c r="H24" s="15" t="e">
        <f t="shared" ref="H24" si="5">(F24/E24)*100</f>
        <v>#DIV/0!</v>
      </c>
      <c r="J24" s="20"/>
    </row>
    <row r="25" spans="1:30" ht="32.25" customHeight="1">
      <c r="A25" s="166"/>
      <c r="B25" s="21" t="s">
        <v>191</v>
      </c>
      <c r="C25" s="166"/>
      <c r="D25" s="18">
        <f>'Розшифровка 2 до формування'!D11+'Розшифровка 2 до формування'!D51+'Розшифровка 2 до формування'!D135+'Розшифровка 2 до формування'!D165+'Розшифровка 2 до формування'!D182</f>
        <v>6007.4</v>
      </c>
      <c r="E25" s="112">
        <f>'Розшифровка 2 до формування'!E11+'Розшифровка 2 до формування'!E51+'Розшифровка 2 до формування'!E135+'Розшифровка 2 до формування'!E165+'Розшифровка 2 до формування'!E182</f>
        <v>5506</v>
      </c>
      <c r="F25" s="18">
        <f>'Розшифровка 2 до формування'!F11+'Розшифровка 2 до формування'!F51+'Розшифровка 2 до формування'!F135+'Розшифровка 2 до формування'!F165+'Розшифровка 2 до формування'!F182</f>
        <v>6917</v>
      </c>
      <c r="G25" s="15">
        <f t="shared" ref="G25:G29" si="6">F25-E25</f>
        <v>1411</v>
      </c>
      <c r="H25" s="15">
        <f t="shared" ref="H25:H29" si="7">(F25/E25)*100</f>
        <v>125.62658917544496</v>
      </c>
      <c r="AD25" s="2" t="s">
        <v>205</v>
      </c>
    </row>
    <row r="26" spans="1:30" ht="29.25" customHeight="1">
      <c r="A26" s="166"/>
      <c r="B26" s="17" t="s">
        <v>138</v>
      </c>
      <c r="C26" s="166"/>
      <c r="D26" s="18">
        <f>'Розшифровка 2 до формування'!D12+'Розшифровка 2 до формування'!D52+'Розшифровка 2 до формування'!D167</f>
        <v>202.1</v>
      </c>
      <c r="E26" s="112">
        <f>'Розшифровка 2 до формування'!E12+'Розшифровка 2 до формування'!E52+'Розшифровка 2 до формування'!E167</f>
        <v>305</v>
      </c>
      <c r="F26" s="18">
        <f>'Розшифровка 2 до формування'!F12+'Розшифровка 2 до формування'!F52+'Розшифровка 2 до формування'!F167</f>
        <v>443.6</v>
      </c>
      <c r="G26" s="15">
        <f t="shared" si="6"/>
        <v>138.60000000000002</v>
      </c>
      <c r="H26" s="15">
        <f t="shared" si="7"/>
        <v>145.4426229508197</v>
      </c>
    </row>
    <row r="27" spans="1:30" ht="31.5" customHeight="1">
      <c r="A27" s="166"/>
      <c r="B27" s="21" t="s">
        <v>173</v>
      </c>
      <c r="C27" s="166"/>
      <c r="D27" s="18">
        <f>'Розшифровка 2 до формування'!D15+'Розшифровка 2 до формування'!D53+'Розшифровка 2 до формування'!D117+'Розшифровка 2 до формування'!D134+'Розшифровка 2 до формування'!D166</f>
        <v>94.7</v>
      </c>
      <c r="E27" s="112">
        <f>'Розшифровка 2 до формування'!E15+'Розшифровка 2 до формування'!E53+'Розшифровка 2 до формування'!E117+'Розшифровка 2 до формування'!E134+'Розшифровка 2 до формування'!E166</f>
        <v>123</v>
      </c>
      <c r="F27" s="18">
        <f>'Розшифровка 2 до формування'!F15+'Розшифровка 2 до формування'!F53+'Розшифровка 2 до формування'!F117+'Розшифровка 2 до формування'!F134+'Розшифровка 2 до формування'!F166</f>
        <v>118.89999999999998</v>
      </c>
      <c r="G27" s="15">
        <f t="shared" si="6"/>
        <v>-4.1000000000000227</v>
      </c>
      <c r="H27" s="15">
        <f t="shared" si="7"/>
        <v>96.666666666666643</v>
      </c>
    </row>
    <row r="28" spans="1:30" ht="63" customHeight="1">
      <c r="A28" s="22"/>
      <c r="B28" s="17" t="s">
        <v>192</v>
      </c>
      <c r="C28" s="12"/>
      <c r="D28" s="18">
        <f>'Розшифровка 2 до формування'!D13+'Розшифровка 2 до формування'!D54+'Розшифровка 2 до формування'!D96+'Розшифровка 2 до формування'!D169+'Розшифровка 2 до формування'!D183+'Розшифровка 2 до формування'!D188</f>
        <v>337.09999999999997</v>
      </c>
      <c r="E28" s="112">
        <f>'Розшифровка 2 до формування'!E13+'Розшифровка 2 до формування'!E54+'Розшифровка 2 до формування'!E96+'Розшифровка 2 до формування'!E169+'Розшифровка 2 до формування'!E183+'Розшифровка 2 до формування'!E188</f>
        <v>265</v>
      </c>
      <c r="F28" s="18">
        <f>'Розшифровка 2 до формування'!F13+'Розшифровка 2 до формування'!F54+'Розшифровка 2 до формування'!F96+'Розшифровка 2 до формування'!F169+'Розшифровка 2 до формування'!F183+'Розшифровка 2 до формування'!F188</f>
        <v>424.8</v>
      </c>
      <c r="G28" s="15">
        <f t="shared" si="6"/>
        <v>159.80000000000001</v>
      </c>
      <c r="H28" s="15">
        <f t="shared" si="7"/>
        <v>160.30188679245282</v>
      </c>
    </row>
    <row r="29" spans="1:30" ht="29.25" customHeight="1">
      <c r="A29" s="22"/>
      <c r="B29" s="17" t="s">
        <v>160</v>
      </c>
      <c r="C29" s="12"/>
      <c r="D29" s="18">
        <f>'Розшифровка 2 до формування'!D14+'Розшифровка 2 до формування'!D55+'Розшифровка 2 до формування'!D97+'Розшифровка 2 до формування'!D168+'Розшифровка 2 до формування'!D189</f>
        <v>103.9</v>
      </c>
      <c r="E29" s="112">
        <f>'Розшифровка 2 до формування'!E14+'Розшифровка 2 до формування'!E55+'Розшифровка 2 до формування'!E97+'Розшифровка 2 до формування'!E168+'Розшифровка 2 до формування'!E189</f>
        <v>27</v>
      </c>
      <c r="F29" s="18">
        <f>'Розшифровка 2 до формування'!F14+'Розшифровка 2 до формування'!F55+'Розшифровка 2 до формування'!F97+'Розшифровка 2 до формування'!F168+'Розшифровка 2 до формування'!F189</f>
        <v>89.399999999999991</v>
      </c>
      <c r="G29" s="15">
        <f t="shared" si="6"/>
        <v>62.399999999999991</v>
      </c>
      <c r="H29" s="15">
        <f t="shared" si="7"/>
        <v>331.11111111111109</v>
      </c>
    </row>
    <row r="30" spans="1:30" ht="35.25" customHeight="1">
      <c r="A30" s="267" t="s">
        <v>81</v>
      </c>
      <c r="B30" s="267"/>
      <c r="C30" s="166">
        <v>1015</v>
      </c>
      <c r="D30" s="14">
        <f>SUM(D31:D57)</f>
        <v>4436.4000000000015</v>
      </c>
      <c r="E30" s="268">
        <f>SUM(E31:E57)</f>
        <v>7690.7999999999993</v>
      </c>
      <c r="F30" s="14">
        <f>SUM(F31:F57)</f>
        <v>7168.2000000000007</v>
      </c>
      <c r="G30" s="19">
        <f>F30-E30</f>
        <v>-522.59999999999854</v>
      </c>
      <c r="H30" s="19">
        <f>(F30/E30)*100</f>
        <v>93.204868154158234</v>
      </c>
      <c r="I30" s="177">
        <f>'Розшифровка 2 до формування'!M16</f>
        <v>0</v>
      </c>
      <c r="J30" s="20"/>
      <c r="K30" s="20"/>
    </row>
    <row r="31" spans="1:30" ht="31.5" customHeight="1">
      <c r="A31" s="166"/>
      <c r="B31" s="254" t="s">
        <v>144</v>
      </c>
      <c r="C31" s="166"/>
      <c r="D31" s="18">
        <f>'Розшифровка 2 до формування'!D20</f>
        <v>0</v>
      </c>
      <c r="E31" s="18">
        <f>'Розшифровка 2 до формування'!E20</f>
        <v>57.5</v>
      </c>
      <c r="F31" s="18">
        <f>'Розшифровка 2 до формування'!F20</f>
        <v>0</v>
      </c>
      <c r="G31" s="15">
        <f t="shared" ref="G31" si="8">F31-E31</f>
        <v>-57.5</v>
      </c>
      <c r="H31" s="15">
        <f t="shared" ref="H31" si="9">(F31/E31)*100</f>
        <v>0</v>
      </c>
      <c r="K31" s="20"/>
    </row>
    <row r="32" spans="1:30" ht="30" customHeight="1">
      <c r="A32" s="166"/>
      <c r="B32" s="17" t="s">
        <v>145</v>
      </c>
      <c r="C32" s="166"/>
      <c r="D32" s="18">
        <f>'Розшифровка 2 до формування'!D21+'Розшифровка 2 до формування'!D149</f>
        <v>99.5</v>
      </c>
      <c r="E32" s="18">
        <f>'Розшифровка 2 до формування'!E21+'Розшифровка 2 до формування'!E149</f>
        <v>300</v>
      </c>
      <c r="F32" s="18">
        <f>'Розшифровка 2 до формування'!F21+'Розшифровка 2 до формування'!F149</f>
        <v>225.4</v>
      </c>
      <c r="G32" s="15">
        <f t="shared" ref="G32:G56" si="10">F32-E32</f>
        <v>-74.599999999999994</v>
      </c>
      <c r="H32" s="15">
        <f t="shared" ref="H32:H56" si="11">(F32/E32)*100</f>
        <v>75.133333333333326</v>
      </c>
    </row>
    <row r="33" spans="1:14" ht="30.75" customHeight="1">
      <c r="A33" s="166"/>
      <c r="B33" s="17" t="s">
        <v>146</v>
      </c>
      <c r="C33" s="166"/>
      <c r="D33" s="18">
        <f>'Розшифровка 2 до формування'!D22</f>
        <v>16.899999999999999</v>
      </c>
      <c r="E33" s="18">
        <f>'Розшифровка 2 до формування'!E22</f>
        <v>22.5</v>
      </c>
      <c r="F33" s="18">
        <f>'Розшифровка 2 до формування'!F22</f>
        <v>15.5</v>
      </c>
      <c r="G33" s="15">
        <f t="shared" si="10"/>
        <v>-7</v>
      </c>
      <c r="H33" s="15">
        <f t="shared" si="11"/>
        <v>68.888888888888886</v>
      </c>
    </row>
    <row r="34" spans="1:14" ht="30" customHeight="1">
      <c r="A34" s="166"/>
      <c r="B34" s="17" t="s">
        <v>147</v>
      </c>
      <c r="C34" s="166"/>
      <c r="D34" s="18">
        <f>'Розшифровка 2 до формування'!D23+'Розшифровка 2 до формування'!D150</f>
        <v>144.1</v>
      </c>
      <c r="E34" s="18">
        <f>'Розшифровка 2 до формування'!E23+'Розшифровка 2 до формування'!E150</f>
        <v>332.5</v>
      </c>
      <c r="F34" s="18">
        <f>'Розшифровка 2 до формування'!F23+'Розшифровка 2 до формування'!F150</f>
        <v>40.799999999999997</v>
      </c>
      <c r="G34" s="15">
        <f t="shared" si="10"/>
        <v>-291.7</v>
      </c>
      <c r="H34" s="15">
        <f t="shared" si="11"/>
        <v>12.270676691729323</v>
      </c>
    </row>
    <row r="35" spans="1:14" ht="29.25" customHeight="1">
      <c r="A35" s="166"/>
      <c r="B35" s="17" t="s">
        <v>293</v>
      </c>
      <c r="C35" s="166"/>
      <c r="D35" s="18">
        <f>'Розшифровка 2 до формування'!D24</f>
        <v>0</v>
      </c>
      <c r="E35" s="18">
        <f>'Розшифровка 2 до формування'!E24</f>
        <v>106.2</v>
      </c>
      <c r="F35" s="18">
        <f>'Розшифровка 2 до формування'!F24</f>
        <v>0</v>
      </c>
      <c r="G35" s="15">
        <f t="shared" si="10"/>
        <v>-106.2</v>
      </c>
      <c r="H35" s="15">
        <f t="shared" si="11"/>
        <v>0</v>
      </c>
    </row>
    <row r="36" spans="1:14" ht="27.75" customHeight="1">
      <c r="A36" s="166"/>
      <c r="B36" s="17" t="s">
        <v>291</v>
      </c>
      <c r="C36" s="166"/>
      <c r="D36" s="18">
        <f>'Розшифровка 2 до формування'!D25+'Розшифровка 2 до формування'!D171</f>
        <v>28.6</v>
      </c>
      <c r="E36" s="18">
        <f>'Розшифровка 2 до формування'!E25+'Розшифровка 2 до формування'!E171</f>
        <v>602.5</v>
      </c>
      <c r="F36" s="18">
        <f>'Розшифровка 2 до формування'!F25+'Розшифровка 2 до формування'!F171</f>
        <v>232.79999999999998</v>
      </c>
      <c r="G36" s="15">
        <f t="shared" si="10"/>
        <v>-369.70000000000005</v>
      </c>
      <c r="H36" s="15">
        <f t="shared" si="11"/>
        <v>38.639004149377591</v>
      </c>
    </row>
    <row r="37" spans="1:14" ht="43.5" customHeight="1">
      <c r="A37" s="166"/>
      <c r="B37" s="17" t="s">
        <v>174</v>
      </c>
      <c r="C37" s="166"/>
      <c r="D37" s="18">
        <f>'Розшифровка 2 до формування'!D28+'Розшифровка 2 до формування'!D63+'Розшифровка 2 до формування'!D99</f>
        <v>1</v>
      </c>
      <c r="E37" s="18">
        <f>'Розшифровка 2 до формування'!E28+'Розшифровка 2 до формування'!E63+'Розшифровка 2 до формування'!E99</f>
        <v>110</v>
      </c>
      <c r="F37" s="18">
        <f>'Розшифровка 2 до формування'!F28+'Розшифровка 2 до формування'!F63+'Розшифровка 2 до формування'!F99</f>
        <v>136.19999999999999</v>
      </c>
      <c r="G37" s="15">
        <f t="shared" si="10"/>
        <v>26.199999999999989</v>
      </c>
      <c r="H37" s="15">
        <f t="shared" si="11"/>
        <v>123.8181818181818</v>
      </c>
    </row>
    <row r="38" spans="1:14" ht="40.5" customHeight="1">
      <c r="A38" s="166"/>
      <c r="B38" s="254" t="s">
        <v>148</v>
      </c>
      <c r="C38" s="166"/>
      <c r="D38" s="18">
        <f>'Розшифровка 2 до формування'!D26+'Розшифровка 2 до формування'!D60+'Розшифровка 2 до формування'!D119+'Розшифровка 2 до формування'!D148+'Розшифровка 2 до формування'!D173</f>
        <v>148.19999999999999</v>
      </c>
      <c r="E38" s="18">
        <f>'Розшифровка 2 до формування'!E26+'Розшифровка 2 до формування'!E60+'Розшифровка 2 до формування'!E119+'Розшифровка 2 до формування'!E148+'Розшифровка 2 до формування'!E173</f>
        <v>344.6</v>
      </c>
      <c r="F38" s="18">
        <f>'Розшифровка 2 до формування'!F26+'Розшифровка 2 до формування'!F60+'Розшифровка 2 до формування'!F119+'Розшифровка 2 до формування'!F148+'Розшифровка 2 до формування'!F173</f>
        <v>164.4</v>
      </c>
      <c r="G38" s="15">
        <f t="shared" si="10"/>
        <v>-180.20000000000002</v>
      </c>
      <c r="H38" s="15">
        <f t="shared" si="11"/>
        <v>47.707486941381312</v>
      </c>
    </row>
    <row r="39" spans="1:14" ht="28.5" customHeight="1">
      <c r="A39" s="23"/>
      <c r="B39" s="254" t="s">
        <v>149</v>
      </c>
      <c r="C39" s="12"/>
      <c r="D39" s="18">
        <f>'Розшифровка 2 до формування'!D27</f>
        <v>0</v>
      </c>
      <c r="E39" s="18">
        <f>'Розшифровка 2 до формування'!E27</f>
        <v>50</v>
      </c>
      <c r="F39" s="18">
        <f>'Розшифровка 2 до формування'!F27</f>
        <v>0</v>
      </c>
      <c r="G39" s="15">
        <f t="shared" si="10"/>
        <v>-50</v>
      </c>
      <c r="H39" s="15">
        <f t="shared" si="11"/>
        <v>0</v>
      </c>
    </row>
    <row r="40" spans="1:14" ht="28.5" customHeight="1">
      <c r="A40" s="23"/>
      <c r="B40" s="254" t="s">
        <v>222</v>
      </c>
      <c r="C40" s="12"/>
      <c r="D40" s="18">
        <f>'Розшифровка 2 до формування'!D61</f>
        <v>9</v>
      </c>
      <c r="E40" s="18">
        <f>'Розшифровка 2 до формування'!E61</f>
        <v>11</v>
      </c>
      <c r="F40" s="18">
        <f>'Розшифровка 2 до формування'!F61</f>
        <v>10.5</v>
      </c>
      <c r="G40" s="15">
        <f t="shared" si="10"/>
        <v>-0.5</v>
      </c>
      <c r="H40" s="15">
        <f t="shared" si="11"/>
        <v>95.454545454545453</v>
      </c>
    </row>
    <row r="41" spans="1:14" ht="27" customHeight="1">
      <c r="A41" s="23"/>
      <c r="B41" s="254" t="s">
        <v>161</v>
      </c>
      <c r="C41" s="12"/>
      <c r="D41" s="18">
        <f>'Розшифровка 2 до формування'!D62+'Розшифровка 2 до формування'!D194</f>
        <v>0.9</v>
      </c>
      <c r="E41" s="18">
        <f>'Розшифровка 2 до формування'!E62+'Розшифровка 2 до формування'!E194</f>
        <v>1</v>
      </c>
      <c r="F41" s="18">
        <f>'Розшифровка 2 до формування'!F62+'Розшифровка 2 до формування'!F194</f>
        <v>0</v>
      </c>
      <c r="G41" s="15">
        <f t="shared" si="10"/>
        <v>-1</v>
      </c>
      <c r="H41" s="15">
        <f t="shared" si="11"/>
        <v>0</v>
      </c>
    </row>
    <row r="42" spans="1:14" ht="28.5" customHeight="1">
      <c r="A42" s="23"/>
      <c r="B42" s="17" t="s">
        <v>193</v>
      </c>
      <c r="C42" s="12"/>
      <c r="D42" s="18">
        <f>'Розшифровка 2 до формування'!D33+'Розшифровка 2 до формування'!D64+'Розшифровка 2 до формування'!D100+'Розшифровка 2 до формування'!D195</f>
        <v>33.700000000000003</v>
      </c>
      <c r="E42" s="18">
        <f>'Розшифровка 2 до формування'!E33+'Розшифровка 2 до формування'!E64+'Розшифровка 2 до формування'!E100+'Розшифровка 2 до формування'!E195</f>
        <v>40</v>
      </c>
      <c r="F42" s="18">
        <f>'Розшифровка 2 до формування'!F33+'Розшифровка 2 до формування'!F64+'Розшифровка 2 до формування'!F100+'Розшифровка 2 до формування'!F195</f>
        <v>40.700000000000003</v>
      </c>
      <c r="G42" s="15">
        <f t="shared" si="10"/>
        <v>0.70000000000000284</v>
      </c>
      <c r="H42" s="15">
        <f t="shared" si="11"/>
        <v>101.75</v>
      </c>
    </row>
    <row r="43" spans="1:14" ht="28.5" customHeight="1">
      <c r="A43" s="23"/>
      <c r="B43" s="17" t="s">
        <v>151</v>
      </c>
      <c r="C43" s="12"/>
      <c r="D43" s="18">
        <f>'Розшифровка 2 до формування'!D192</f>
        <v>2.1</v>
      </c>
      <c r="E43" s="18">
        <f>'Розшифровка 2 до формування'!E192</f>
        <v>0</v>
      </c>
      <c r="F43" s="18">
        <f>'Розшифровка 2 до формування'!F192</f>
        <v>16.600000000000001</v>
      </c>
      <c r="G43" s="15">
        <f t="shared" si="10"/>
        <v>16.600000000000001</v>
      </c>
      <c r="H43" s="53" t="e">
        <f t="shared" si="11"/>
        <v>#DIV/0!</v>
      </c>
    </row>
    <row r="44" spans="1:14" ht="39" customHeight="1">
      <c r="A44" s="23"/>
      <c r="B44" s="254" t="s">
        <v>163</v>
      </c>
      <c r="C44" s="12"/>
      <c r="D44" s="18">
        <f>'Розшифровка 2 до формування'!D30+'Розшифровка 2 до формування'!D65+'Розшифровка 2 до формування'!D101+'Розшифровка 2 до формування'!D193</f>
        <v>6.3000000000000007</v>
      </c>
      <c r="E44" s="18">
        <f>'Розшифровка 2 до формування'!E30+'Розшифровка 2 до формування'!E65+'Розшифровка 2 до формування'!E101+'Розшифровка 2 до формування'!E193</f>
        <v>40</v>
      </c>
      <c r="F44" s="18">
        <f>'Розшифровка 2 до формування'!F30+'Розшифровка 2 до формування'!F65+'Розшифровка 2 до формування'!F101+'Розшифровка 2 до формування'!F193</f>
        <v>15</v>
      </c>
      <c r="G44" s="15">
        <f t="shared" si="10"/>
        <v>-25</v>
      </c>
      <c r="H44" s="15">
        <f t="shared" si="11"/>
        <v>37.5</v>
      </c>
    </row>
    <row r="45" spans="1:14" ht="45.75" customHeight="1">
      <c r="A45" s="23"/>
      <c r="B45" s="254" t="s">
        <v>165</v>
      </c>
      <c r="C45" s="12"/>
      <c r="D45" s="18">
        <f>'Розшифровка 2 до формування'!D29</f>
        <v>0</v>
      </c>
      <c r="E45" s="18">
        <f>'Розшифровка 2 до формування'!E29</f>
        <v>50</v>
      </c>
      <c r="F45" s="18">
        <f>'Розшифровка 2 до формування'!F29</f>
        <v>117.6</v>
      </c>
      <c r="G45" s="15">
        <f t="shared" si="10"/>
        <v>67.599999999999994</v>
      </c>
      <c r="H45" s="15">
        <f t="shared" si="11"/>
        <v>235.2</v>
      </c>
    </row>
    <row r="46" spans="1:14" ht="27.75" customHeight="1">
      <c r="A46" s="23"/>
      <c r="B46" s="264" t="s">
        <v>194</v>
      </c>
      <c r="C46" s="12"/>
      <c r="D46" s="18">
        <f>'Розшифровка 2 до формування'!D31+'Розшифровка 2 до формування'!D67+'Розшифровка 2 до формування'!D103+'Розшифровка 2 до формування'!D151+'Розшифровка 2 до формування'!D172</f>
        <v>152.4</v>
      </c>
      <c r="E46" s="18">
        <f>'Розшифровка 2 до формування'!E31+'Розшифровка 2 до формування'!E67+'Розшифровка 2 до формування'!E103+'Розшифровка 2 до формування'!E151+'Розшифровка 2 до формування'!E172</f>
        <v>420</v>
      </c>
      <c r="F46" s="18">
        <f>'Розшифровка 2 до формування'!F31+'Розшифровка 2 до формування'!F67+'Розшифровка 2 до формування'!F103+'Розшифровка 2 до формування'!F151+'Розшифровка 2 до формування'!F172</f>
        <v>1089.9000000000001</v>
      </c>
      <c r="G46" s="15">
        <f t="shared" si="10"/>
        <v>669.90000000000009</v>
      </c>
      <c r="H46" s="15">
        <f t="shared" si="11"/>
        <v>259.5</v>
      </c>
      <c r="N46" s="20"/>
    </row>
    <row r="47" spans="1:14" ht="69.75" customHeight="1">
      <c r="A47" s="23"/>
      <c r="B47" s="17" t="s">
        <v>336</v>
      </c>
      <c r="C47" s="12"/>
      <c r="D47" s="18">
        <f>'Розшифровка 2 до формування'!D68+'Розшифровка 2 до формування'!D104</f>
        <v>0</v>
      </c>
      <c r="E47" s="18">
        <f>'Розшифровка 2 до формування'!E68+'Розшифровка 2 до формування'!E104</f>
        <v>194</v>
      </c>
      <c r="F47" s="18">
        <f>'Розшифровка 2 до формування'!F68+'Розшифровка 2 до формування'!F104</f>
        <v>76.900000000000006</v>
      </c>
      <c r="G47" s="15">
        <f t="shared" si="10"/>
        <v>-117.1</v>
      </c>
      <c r="H47" s="15">
        <f t="shared" si="11"/>
        <v>39.639175257731964</v>
      </c>
      <c r="N47" s="20"/>
    </row>
    <row r="48" spans="1:14" ht="30.75" customHeight="1">
      <c r="A48" s="23"/>
      <c r="B48" s="17" t="s">
        <v>207</v>
      </c>
      <c r="C48" s="12"/>
      <c r="D48" s="18">
        <f>'Розшифровка 2 до формування'!D66+'Розшифровка 2 до формування'!D102+'Розшифровка 2 до формування'!D196</f>
        <v>4.5</v>
      </c>
      <c r="E48" s="18">
        <f>'Розшифровка 2 до формування'!E66+'Розшифровка 2 до формування'!E102+'Розшифровка 2 до формування'!E196</f>
        <v>12.5</v>
      </c>
      <c r="F48" s="18">
        <f>'Розшифровка 2 до формування'!F66+'Розшифровка 2 до формування'!F102+'Розшифровка 2 до формування'!F196</f>
        <v>7.6</v>
      </c>
      <c r="G48" s="15">
        <f t="shared" si="10"/>
        <v>-4.9000000000000004</v>
      </c>
      <c r="H48" s="15">
        <f t="shared" si="11"/>
        <v>60.8</v>
      </c>
    </row>
    <row r="49" spans="1:13" ht="30.75" customHeight="1">
      <c r="A49" s="23"/>
      <c r="B49" s="17" t="s">
        <v>156</v>
      </c>
      <c r="C49" s="12"/>
      <c r="D49" s="18">
        <f>'Розшифровка 2 до формування'!D32</f>
        <v>47.6</v>
      </c>
      <c r="E49" s="18">
        <f>'Розшифровка 2 до формування'!E32</f>
        <v>0</v>
      </c>
      <c r="F49" s="18">
        <f>'Розшифровка 2 до формування'!F32</f>
        <v>0</v>
      </c>
      <c r="G49" s="15">
        <f t="shared" si="10"/>
        <v>0</v>
      </c>
      <c r="H49" s="53" t="e">
        <f t="shared" si="11"/>
        <v>#DIV/0!</v>
      </c>
    </row>
    <row r="50" spans="1:13" ht="30" customHeight="1">
      <c r="A50" s="23"/>
      <c r="B50" s="254" t="s">
        <v>167</v>
      </c>
      <c r="C50" s="12"/>
      <c r="D50" s="18">
        <f>'Розшифровка 2 до формування'!D70+'Розшифровка 2 до формування'!D120</f>
        <v>3051.8</v>
      </c>
      <c r="E50" s="18">
        <f>'Розшифровка 2 до формування'!E70+'Розшифровка 2 до формування'!E120</f>
        <v>3574.1</v>
      </c>
      <c r="F50" s="18">
        <f>'Розшифровка 2 до формування'!F70+'Розшифровка 2 до формування'!F120</f>
        <v>3667.9</v>
      </c>
      <c r="G50" s="15">
        <f t="shared" si="10"/>
        <v>93.800000000000182</v>
      </c>
      <c r="H50" s="15">
        <f t="shared" si="11"/>
        <v>102.62443692118298</v>
      </c>
    </row>
    <row r="51" spans="1:13" ht="31.5" customHeight="1">
      <c r="A51" s="23"/>
      <c r="B51" s="262" t="s">
        <v>168</v>
      </c>
      <c r="C51" s="12"/>
      <c r="D51" s="18">
        <f>'Розшифровка 2 до формування'!D71+'Розшифровка 2 до формування'!D121</f>
        <v>177.5</v>
      </c>
      <c r="E51" s="18">
        <f>'Розшифровка 2 до формування'!E71+'Розшифровка 2 до формування'!E121</f>
        <v>199.2</v>
      </c>
      <c r="F51" s="18">
        <f>'Розшифровка 2 до формування'!F71+'Розшифровка 2 до формування'!F121</f>
        <v>197.2</v>
      </c>
      <c r="G51" s="15">
        <f t="shared" si="10"/>
        <v>-2</v>
      </c>
      <c r="H51" s="15">
        <f t="shared" si="11"/>
        <v>98.99598393574297</v>
      </c>
      <c r="K51" s="29"/>
    </row>
    <row r="52" spans="1:13" ht="32.25" customHeight="1">
      <c r="A52" s="23"/>
      <c r="B52" s="262" t="s">
        <v>169</v>
      </c>
      <c r="C52" s="12"/>
      <c r="D52" s="18">
        <f>'Розшифровка 2 до формування'!D72+'Розшифровка 2 до формування'!D122</f>
        <v>431.5</v>
      </c>
      <c r="E52" s="18">
        <f>'Розшифровка 2 до формування'!E72+'Розшифровка 2 до формування'!E122</f>
        <v>1107.3</v>
      </c>
      <c r="F52" s="18">
        <f>'Розшифровка 2 до формування'!F72+'Розшифровка 2 до формування'!F122</f>
        <v>993.69999999999993</v>
      </c>
      <c r="G52" s="15">
        <f t="shared" si="10"/>
        <v>-113.60000000000002</v>
      </c>
      <c r="H52" s="15">
        <f>(F52/E52)*100</f>
        <v>89.740810981667124</v>
      </c>
      <c r="K52" s="29"/>
    </row>
    <row r="53" spans="1:13" ht="27.75" customHeight="1">
      <c r="A53" s="23"/>
      <c r="B53" s="262" t="s">
        <v>170</v>
      </c>
      <c r="C53" s="12"/>
      <c r="D53" s="18">
        <f>'Розшифровка 2 до формування'!D123+'Розшифровка 2 до формування'!D174</f>
        <v>74.099999999999994</v>
      </c>
      <c r="E53" s="18">
        <f>'Розшифровка 2 до формування'!E123+'Розшифровка 2 до формування'!E174</f>
        <v>107.9</v>
      </c>
      <c r="F53" s="18">
        <f>'Розшифровка 2 до формування'!F123+'Розшифровка 2 до формування'!F174</f>
        <v>109.3</v>
      </c>
      <c r="G53" s="15">
        <f t="shared" si="10"/>
        <v>1.3999999999999915</v>
      </c>
      <c r="H53" s="15">
        <f t="shared" si="11"/>
        <v>101.29749768303984</v>
      </c>
      <c r="K53" s="29"/>
    </row>
    <row r="54" spans="1:13" ht="33" customHeight="1">
      <c r="A54" s="23"/>
      <c r="B54" s="17" t="s">
        <v>208</v>
      </c>
      <c r="C54" s="12"/>
      <c r="D54" s="18">
        <f>'Розшифровка 2 до формування'!D34</f>
        <v>0</v>
      </c>
      <c r="E54" s="18">
        <f>'Розшифровка 2 до формування'!E34</f>
        <v>0</v>
      </c>
      <c r="F54" s="18">
        <f>'Розшифровка 2 до формування'!F34</f>
        <v>9.1</v>
      </c>
      <c r="G54" s="15">
        <f t="shared" si="10"/>
        <v>9.1</v>
      </c>
      <c r="H54" s="53" t="e">
        <f t="shared" si="11"/>
        <v>#DIV/0!</v>
      </c>
      <c r="K54" s="29"/>
      <c r="L54" s="20"/>
    </row>
    <row r="55" spans="1:13" ht="31.5" customHeight="1">
      <c r="A55" s="23"/>
      <c r="B55" s="262" t="s">
        <v>210</v>
      </c>
      <c r="C55" s="12"/>
      <c r="D55" s="18">
        <f>'Розшифровка 2 до формування'!D69</f>
        <v>1.1000000000000001</v>
      </c>
      <c r="E55" s="18">
        <f>'Розшифровка 2 до формування'!E69</f>
        <v>0</v>
      </c>
      <c r="F55" s="18">
        <f>'Розшифровка 2 до формування'!F69</f>
        <v>1.1000000000000001</v>
      </c>
      <c r="G55" s="15">
        <f t="shared" si="10"/>
        <v>1.1000000000000001</v>
      </c>
      <c r="H55" s="53" t="e">
        <f t="shared" si="11"/>
        <v>#DIV/0!</v>
      </c>
    </row>
    <row r="56" spans="1:13" ht="31.5" customHeight="1">
      <c r="A56" s="23"/>
      <c r="B56" s="262" t="s">
        <v>294</v>
      </c>
      <c r="C56" s="12"/>
      <c r="D56" s="18">
        <f>'Розшифровка 2 до формування'!D73</f>
        <v>5.6</v>
      </c>
      <c r="E56" s="18">
        <f>'Розшифровка 2 до формування'!E73</f>
        <v>0</v>
      </c>
      <c r="F56" s="18">
        <f>'Розшифровка 2 до формування'!F73</f>
        <v>0</v>
      </c>
      <c r="G56" s="15">
        <f t="shared" si="10"/>
        <v>0</v>
      </c>
      <c r="H56" s="53" t="e">
        <f t="shared" si="11"/>
        <v>#DIV/0!</v>
      </c>
    </row>
    <row r="57" spans="1:13" ht="31.5" customHeight="1">
      <c r="A57" s="23"/>
      <c r="B57" s="262" t="s">
        <v>337</v>
      </c>
      <c r="C57" s="12"/>
      <c r="D57" s="18">
        <f>'Розшифровка 2 до формування'!D74</f>
        <v>0</v>
      </c>
      <c r="E57" s="18">
        <f>'Розшифровка 2 до формування'!E74</f>
        <v>8</v>
      </c>
      <c r="F57" s="18">
        <f>'Розшифровка 2 до формування'!F74</f>
        <v>0</v>
      </c>
      <c r="G57" s="15">
        <f t="shared" ref="G57" si="12">F57-E57</f>
        <v>-8</v>
      </c>
      <c r="H57" s="15">
        <f t="shared" ref="H57" si="13">(F57/E57)*100</f>
        <v>0</v>
      </c>
    </row>
    <row r="58" spans="1:13" s="5" customFormat="1" ht="39" customHeight="1">
      <c r="A58" s="224" t="s">
        <v>82</v>
      </c>
      <c r="B58" s="224"/>
      <c r="C58" s="24"/>
      <c r="D58" s="14"/>
      <c r="E58" s="14"/>
      <c r="F58" s="14"/>
      <c r="G58" s="15"/>
      <c r="H58" s="15"/>
      <c r="I58" s="178"/>
    </row>
    <row r="59" spans="1:13" s="5" customFormat="1" ht="31.5" customHeight="1">
      <c r="A59" s="267" t="s">
        <v>83</v>
      </c>
      <c r="B59" s="267"/>
      <c r="C59" s="24">
        <v>1025</v>
      </c>
      <c r="D59" s="14">
        <f>SUM(D60:D76)</f>
        <v>213.69999999999996</v>
      </c>
      <c r="E59" s="268">
        <f>SUM(E60:E76)</f>
        <v>351.69999999999993</v>
      </c>
      <c r="F59" s="14">
        <f>SUM(F60:F76)</f>
        <v>322.90000000000003</v>
      </c>
      <c r="G59" s="19">
        <f>F59-E59</f>
        <v>-28.799999999999898</v>
      </c>
      <c r="H59" s="19">
        <f>(F59/E59)*100</f>
        <v>91.811202729599117</v>
      </c>
      <c r="I59" s="178"/>
      <c r="J59" s="25"/>
    </row>
    <row r="60" spans="1:13" s="5" customFormat="1" ht="31.5" customHeight="1">
      <c r="A60" s="166"/>
      <c r="B60" s="17" t="s">
        <v>151</v>
      </c>
      <c r="C60" s="24"/>
      <c r="D60" s="18">
        <f>'Розшифровка 2 до формування'!D77+'Розшифровка 2 до формування'!D107</f>
        <v>47.1</v>
      </c>
      <c r="E60" s="18">
        <f>'Розшифровка 2 до формування'!E77+'Розшифровка 2 до формування'!E107</f>
        <v>50</v>
      </c>
      <c r="F60" s="18">
        <f>'Розшифровка 2 до формування'!F77+'Розшифровка 2 до формування'!F107</f>
        <v>54.8</v>
      </c>
      <c r="G60" s="15">
        <f t="shared" ref="G60:G68" si="14">F60-E60</f>
        <v>4.7999999999999972</v>
      </c>
      <c r="H60" s="15">
        <f t="shared" ref="H60:H68" si="15">(F60/E60)*100</f>
        <v>109.59999999999998</v>
      </c>
      <c r="I60" s="178"/>
      <c r="J60" s="25"/>
    </row>
    <row r="61" spans="1:13" s="5" customFormat="1" ht="28.5" customHeight="1">
      <c r="A61" s="166"/>
      <c r="B61" s="17" t="s">
        <v>156</v>
      </c>
      <c r="C61" s="24"/>
      <c r="D61" s="18">
        <f>'Розшифровка 2 до формування'!D41+'Розшифровка 2 до формування'!D79+'Розшифровка 2 до формування'!D204</f>
        <v>11.1</v>
      </c>
      <c r="E61" s="18">
        <f>'Розшифровка 2 до формування'!E41+'Розшифровка 2 до формування'!E79+'Розшифровка 2 до формування'!E204</f>
        <v>26</v>
      </c>
      <c r="F61" s="18">
        <f>'Розшифровка 2 до формування'!F41+'Розшифровка 2 до формування'!F79+'Розшифровка 2 до формування'!F204</f>
        <v>18.5</v>
      </c>
      <c r="G61" s="15">
        <f t="shared" si="14"/>
        <v>-7.5</v>
      </c>
      <c r="H61" s="15">
        <f t="shared" si="15"/>
        <v>71.15384615384616</v>
      </c>
      <c r="I61" s="178"/>
      <c r="M61" s="25"/>
    </row>
    <row r="62" spans="1:13" s="5" customFormat="1" ht="52.5" customHeight="1">
      <c r="A62" s="166"/>
      <c r="B62" s="17" t="s">
        <v>165</v>
      </c>
      <c r="C62" s="24"/>
      <c r="D62" s="18">
        <f>'Розшифровка 2 до формування'!D39+'Розшифровка 2 до формування'!D80+'Розшифровка 2 до формування'!D108+'Розшифровка 2 до формування'!D199</f>
        <v>28.1</v>
      </c>
      <c r="E62" s="18">
        <f>'Розшифровка 2 до формування'!E39+'Розшифровка 2 до формування'!E80+'Розшифровка 2 до формування'!E108+'Розшифровка 2 до формування'!E199</f>
        <v>100</v>
      </c>
      <c r="F62" s="18">
        <f>'Розшифровка 2 до формування'!F39+'Розшифровка 2 до формування'!F80+'Розшифровка 2 до формування'!F108+'Розшифровка 2 до формування'!F199</f>
        <v>51.699999999999996</v>
      </c>
      <c r="G62" s="15">
        <f t="shared" si="14"/>
        <v>-48.300000000000004</v>
      </c>
      <c r="H62" s="15">
        <f t="shared" si="15"/>
        <v>51.699999999999989</v>
      </c>
      <c r="I62" s="178"/>
    </row>
    <row r="63" spans="1:13" s="5" customFormat="1" ht="39" customHeight="1">
      <c r="A63" s="166"/>
      <c r="B63" s="17" t="s">
        <v>163</v>
      </c>
      <c r="C63" s="24"/>
      <c r="D63" s="18">
        <f>'Розшифровка 2 до формування'!D78</f>
        <v>0</v>
      </c>
      <c r="E63" s="18">
        <f>'Розшифровка 2 до формування'!E78</f>
        <v>20</v>
      </c>
      <c r="F63" s="18">
        <f>'Розшифровка 2 до формування'!F78</f>
        <v>0</v>
      </c>
      <c r="G63" s="15">
        <f t="shared" si="14"/>
        <v>-20</v>
      </c>
      <c r="H63" s="15">
        <f t="shared" si="15"/>
        <v>0</v>
      </c>
      <c r="I63" s="178"/>
    </row>
    <row r="64" spans="1:13" s="5" customFormat="1" ht="28.5" customHeight="1">
      <c r="A64" s="166"/>
      <c r="B64" s="17" t="s">
        <v>184</v>
      </c>
      <c r="C64" s="24"/>
      <c r="D64" s="18">
        <f>'Розшифровка 2 до формування'!D86+'Розшифровка 2 до формування'!D154+'Розшифровка 2 до формування'!D201</f>
        <v>3.3</v>
      </c>
      <c r="E64" s="18">
        <f>'Розшифровка 2 до формування'!E86+'Розшифровка 2 до формування'!E154+'Розшифровка 2 до формування'!E201</f>
        <v>3.7</v>
      </c>
      <c r="F64" s="18">
        <f>'Розшифровка 2 до формування'!F86+'Розшифровка 2 до формування'!F154+'Розшифровка 2 до формування'!F201</f>
        <v>4.1000000000000005</v>
      </c>
      <c r="G64" s="15">
        <f t="shared" si="14"/>
        <v>0.40000000000000036</v>
      </c>
      <c r="H64" s="15">
        <f t="shared" si="15"/>
        <v>110.81081081081081</v>
      </c>
      <c r="I64" s="178"/>
    </row>
    <row r="65" spans="1:11" s="5" customFormat="1" ht="27" customHeight="1">
      <c r="A65" s="166"/>
      <c r="B65" s="17" t="s">
        <v>167</v>
      </c>
      <c r="C65" s="24"/>
      <c r="D65" s="18">
        <f>'Розшифровка 2 до формування'!D126</f>
        <v>46.9</v>
      </c>
      <c r="E65" s="18">
        <f>'Розшифровка 2 до формування'!E126</f>
        <v>79.599999999999994</v>
      </c>
      <c r="F65" s="18">
        <f>'Розшифровка 2 до формування'!F126</f>
        <v>56.6</v>
      </c>
      <c r="G65" s="15">
        <f t="shared" si="14"/>
        <v>-22.999999999999993</v>
      </c>
      <c r="H65" s="15">
        <f t="shared" si="15"/>
        <v>71.105527638190964</v>
      </c>
      <c r="I65" s="178"/>
    </row>
    <row r="66" spans="1:11" s="5" customFormat="1" ht="28.5" customHeight="1">
      <c r="A66" s="166"/>
      <c r="B66" s="17" t="s">
        <v>168</v>
      </c>
      <c r="C66" s="24"/>
      <c r="D66" s="18">
        <f>'Розшифровка 2 до формування'!D127</f>
        <v>2.1</v>
      </c>
      <c r="E66" s="18">
        <f>'Розшифровка 2 до формування'!E127</f>
        <v>4.4000000000000004</v>
      </c>
      <c r="F66" s="18">
        <f>'Розшифровка 2 до формування'!F127</f>
        <v>4.4000000000000004</v>
      </c>
      <c r="G66" s="15">
        <f t="shared" si="14"/>
        <v>0</v>
      </c>
      <c r="H66" s="15">
        <f t="shared" si="15"/>
        <v>100</v>
      </c>
      <c r="I66" s="178"/>
    </row>
    <row r="67" spans="1:11" s="5" customFormat="1" ht="30" customHeight="1">
      <c r="A67" s="166"/>
      <c r="B67" s="17" t="s">
        <v>169</v>
      </c>
      <c r="C67" s="24"/>
      <c r="D67" s="18">
        <f>'Розшифровка 2 до формування'!D128</f>
        <v>10.199999999999999</v>
      </c>
      <c r="E67" s="18">
        <f>'Розшифровка 2 до формування'!E128</f>
        <v>24.6</v>
      </c>
      <c r="F67" s="18">
        <f>'Розшифровка 2 до формування'!F128</f>
        <v>22.3</v>
      </c>
      <c r="G67" s="15">
        <f t="shared" si="14"/>
        <v>-2.3000000000000007</v>
      </c>
      <c r="H67" s="15">
        <f t="shared" si="15"/>
        <v>90.650406504065046</v>
      </c>
      <c r="I67" s="178"/>
    </row>
    <row r="68" spans="1:11" s="5" customFormat="1" ht="27" customHeight="1">
      <c r="A68" s="166"/>
      <c r="B68" s="17" t="s">
        <v>170</v>
      </c>
      <c r="C68" s="24"/>
      <c r="D68" s="18">
        <f>'Розшифровка 2 до формування'!D129</f>
        <v>0.7</v>
      </c>
      <c r="E68" s="18">
        <f>'Розшифровка 2 до формування'!E129</f>
        <v>2.4</v>
      </c>
      <c r="F68" s="18">
        <f>'Розшифровка 2 до формування'!F129</f>
        <v>1</v>
      </c>
      <c r="G68" s="15">
        <f t="shared" si="14"/>
        <v>-1.4</v>
      </c>
      <c r="H68" s="15">
        <f t="shared" si="15"/>
        <v>41.666666666666671</v>
      </c>
      <c r="I68" s="178"/>
    </row>
    <row r="69" spans="1:11" s="5" customFormat="1" ht="27" customHeight="1">
      <c r="A69" s="166"/>
      <c r="B69" s="17" t="s">
        <v>256</v>
      </c>
      <c r="C69" s="24"/>
      <c r="D69" s="18">
        <f>'Розшифровка 2 до формування'!D155</f>
        <v>0</v>
      </c>
      <c r="E69" s="18">
        <f>'Розшифровка 2 до формування'!E155</f>
        <v>5</v>
      </c>
      <c r="F69" s="18">
        <f>'Розшифровка 2 до формування'!F155</f>
        <v>0</v>
      </c>
      <c r="G69" s="15">
        <f t="shared" ref="G69:G76" si="16">F69-E69</f>
        <v>-5</v>
      </c>
      <c r="H69" s="15">
        <f t="shared" ref="H69:H76" si="17">(F69/E69)*100</f>
        <v>0</v>
      </c>
      <c r="I69" s="178"/>
    </row>
    <row r="70" spans="1:11" s="5" customFormat="1" ht="31.5" customHeight="1">
      <c r="A70" s="166"/>
      <c r="B70" s="17" t="s">
        <v>166</v>
      </c>
      <c r="C70" s="24"/>
      <c r="D70" s="18">
        <f>'Розшифровка 2 до формування'!D40+'Розшифровка 2 до формування'!D200</f>
        <v>1</v>
      </c>
      <c r="E70" s="18">
        <f>'Розшифровка 2 до формування'!E40+'Розшифровка 2 до формування'!E200</f>
        <v>0</v>
      </c>
      <c r="F70" s="18">
        <f>'Розшифровка 2 до формування'!F40+'Розшифровка 2 до формування'!F200</f>
        <v>0.8</v>
      </c>
      <c r="G70" s="15">
        <f t="shared" si="16"/>
        <v>0.8</v>
      </c>
      <c r="H70" s="53" t="e">
        <f t="shared" si="17"/>
        <v>#DIV/0!</v>
      </c>
      <c r="I70" s="178"/>
    </row>
    <row r="71" spans="1:11" s="5" customFormat="1" ht="31.5" customHeight="1">
      <c r="A71" s="166"/>
      <c r="B71" s="17" t="s">
        <v>292</v>
      </c>
      <c r="C71" s="24"/>
      <c r="D71" s="18">
        <f>'Розшифровка 2 до формування'!D83</f>
        <v>39.799999999999997</v>
      </c>
      <c r="E71" s="18">
        <f>'Розшифровка 2 до формування'!E83</f>
        <v>0</v>
      </c>
      <c r="F71" s="18">
        <f>'Розшифровка 2 до формування'!F83</f>
        <v>0</v>
      </c>
      <c r="G71" s="15">
        <f t="shared" si="16"/>
        <v>0</v>
      </c>
      <c r="H71" s="53" t="e">
        <f t="shared" si="17"/>
        <v>#DIV/0!</v>
      </c>
      <c r="I71" s="178"/>
    </row>
    <row r="72" spans="1:11" s="5" customFormat="1" ht="28.5" customHeight="1">
      <c r="A72" s="166"/>
      <c r="B72" s="17" t="s">
        <v>171</v>
      </c>
      <c r="C72" s="24"/>
      <c r="D72" s="18">
        <f>'Розшифровка 2 до формування'!D85+'Розшифровка 2 до формування'!D111</f>
        <v>1.1000000000000001</v>
      </c>
      <c r="E72" s="18">
        <f>'Розшифровка 2 до формування'!E85+'Розшифровка 2 до формування'!E111</f>
        <v>0</v>
      </c>
      <c r="F72" s="18">
        <f>'Розшифровка 2 до формування'!F85+'Розшифровка 2 до формування'!F111</f>
        <v>20.399999999999999</v>
      </c>
      <c r="G72" s="15">
        <f t="shared" si="16"/>
        <v>20.399999999999999</v>
      </c>
      <c r="H72" s="53" t="e">
        <f t="shared" si="17"/>
        <v>#DIV/0!</v>
      </c>
      <c r="I72" s="178"/>
    </row>
    <row r="73" spans="1:11" s="5" customFormat="1" ht="28.5" customHeight="1">
      <c r="A73" s="166"/>
      <c r="B73" s="17" t="s">
        <v>248</v>
      </c>
      <c r="C73" s="24"/>
      <c r="D73" s="18">
        <f>'Розшифровка 2 до формування'!D110+'Розшифровка 2 до формування'!D84</f>
        <v>3.6</v>
      </c>
      <c r="E73" s="18">
        <f>'Розшифровка 2 до формування'!E110+'Розшифровка 2 до формування'!E84</f>
        <v>0</v>
      </c>
      <c r="F73" s="18">
        <f>'Розшифровка 2 до формування'!F110+'Розшифровка 2 до формування'!F84</f>
        <v>8.4</v>
      </c>
      <c r="G73" s="15">
        <f t="shared" si="16"/>
        <v>8.4</v>
      </c>
      <c r="H73" s="53" t="e">
        <f t="shared" si="17"/>
        <v>#DIV/0!</v>
      </c>
      <c r="I73" s="178"/>
    </row>
    <row r="74" spans="1:11" s="5" customFormat="1" ht="31.5" customHeight="1">
      <c r="A74" s="166"/>
      <c r="B74" s="17" t="s">
        <v>243</v>
      </c>
      <c r="C74" s="24"/>
      <c r="D74" s="18">
        <f>'Розшифровка 2 до формування'!D81+'Розшифровка 2 до формування'!D109+'Розшифровка 2 до формування'!D203</f>
        <v>5.3</v>
      </c>
      <c r="E74" s="18">
        <f>'Розшифровка 2 до формування'!E81+'Розшифровка 2 до формування'!E109+'Розшифровка 2 до формування'!E203</f>
        <v>36</v>
      </c>
      <c r="F74" s="18">
        <f>'Розшифровка 2 до формування'!F81+'Розшифровка 2 до формування'!F109+'Розшифровка 2 до формування'!F203</f>
        <v>72.900000000000006</v>
      </c>
      <c r="G74" s="15">
        <f t="shared" si="16"/>
        <v>36.900000000000006</v>
      </c>
      <c r="H74" s="15">
        <f t="shared" si="17"/>
        <v>202.50000000000003</v>
      </c>
      <c r="I74" s="178"/>
    </row>
    <row r="75" spans="1:11" s="5" customFormat="1" ht="31.5" customHeight="1">
      <c r="A75" s="166"/>
      <c r="B75" s="17" t="s">
        <v>225</v>
      </c>
      <c r="C75" s="24"/>
      <c r="D75" s="18">
        <f>'Розшифровка 2 до формування'!D82</f>
        <v>4.4000000000000004</v>
      </c>
      <c r="E75" s="18">
        <f>'Розшифровка 2 до формування'!E82</f>
        <v>0</v>
      </c>
      <c r="F75" s="18">
        <f>'Розшифровка 2 до формування'!F82</f>
        <v>7</v>
      </c>
      <c r="G75" s="15">
        <f t="shared" si="16"/>
        <v>7</v>
      </c>
      <c r="H75" s="53" t="e">
        <f t="shared" si="17"/>
        <v>#DIV/0!</v>
      </c>
      <c r="I75" s="178"/>
    </row>
    <row r="76" spans="1:11" s="5" customFormat="1" ht="31.5" customHeight="1">
      <c r="A76" s="166"/>
      <c r="B76" s="17" t="s">
        <v>247</v>
      </c>
      <c r="C76" s="24"/>
      <c r="D76" s="18">
        <f>'Розшифровка 2 до формування'!D202</f>
        <v>9</v>
      </c>
      <c r="E76" s="18">
        <f>'Розшифровка 2 до формування'!E202</f>
        <v>0</v>
      </c>
      <c r="F76" s="18">
        <f>'Розшифровка 2 до формування'!F202</f>
        <v>0</v>
      </c>
      <c r="G76" s="15">
        <f t="shared" si="16"/>
        <v>0</v>
      </c>
      <c r="H76" s="53" t="e">
        <f t="shared" si="17"/>
        <v>#DIV/0!</v>
      </c>
      <c r="I76" s="178"/>
    </row>
    <row r="77" spans="1:11" s="5" customFormat="1" ht="37.5" customHeight="1">
      <c r="A77" s="224" t="s">
        <v>120</v>
      </c>
      <c r="B77" s="224"/>
      <c r="C77" s="24"/>
      <c r="D77" s="18"/>
      <c r="E77" s="14"/>
      <c r="F77" s="14"/>
      <c r="G77" s="15"/>
      <c r="H77" s="15"/>
      <c r="I77" s="178"/>
    </row>
    <row r="78" spans="1:11" s="5" customFormat="1" ht="37.5" customHeight="1">
      <c r="A78" s="224" t="s">
        <v>93</v>
      </c>
      <c r="B78" s="224"/>
      <c r="C78" s="24">
        <v>1035</v>
      </c>
      <c r="D78" s="14">
        <f>SUM(D79:D86)</f>
        <v>57.2</v>
      </c>
      <c r="E78" s="14">
        <f>SUM(E79:E86)</f>
        <v>140.69999999999999</v>
      </c>
      <c r="F78" s="14">
        <f>SUM(F79:F86)</f>
        <v>127.19999999999999</v>
      </c>
      <c r="G78" s="19">
        <f t="shared" ref="G78:G82" si="18">F78-E78</f>
        <v>-13.5</v>
      </c>
      <c r="H78" s="19">
        <f t="shared" ref="H78:H82" si="19">(F78/E78)*100</f>
        <v>90.405117270788921</v>
      </c>
      <c r="I78" s="178"/>
      <c r="J78" s="25"/>
    </row>
    <row r="79" spans="1:11" s="5" customFormat="1" ht="32.25" customHeight="1">
      <c r="A79" s="198"/>
      <c r="B79" s="17" t="s">
        <v>167</v>
      </c>
      <c r="C79" s="24"/>
      <c r="D79" s="18">
        <f>'Розшифровка 2 до формування'!D141</f>
        <v>0.2</v>
      </c>
      <c r="E79" s="18">
        <f>'Розшифровка 2 до формування'!E141</f>
        <v>5</v>
      </c>
      <c r="F79" s="18">
        <f>'Розшифровка 2 до формування'!F141</f>
        <v>39.799999999999997</v>
      </c>
      <c r="G79" s="15">
        <f t="shared" si="18"/>
        <v>34.799999999999997</v>
      </c>
      <c r="H79" s="15">
        <f t="shared" si="19"/>
        <v>795.99999999999989</v>
      </c>
      <c r="I79" s="178"/>
      <c r="J79" s="25"/>
    </row>
    <row r="80" spans="1:11" s="5" customFormat="1" ht="31.5" customHeight="1">
      <c r="A80" s="198"/>
      <c r="B80" s="17" t="s">
        <v>168</v>
      </c>
      <c r="C80" s="24"/>
      <c r="D80" s="18">
        <f>'Розшифровка 2 до формування'!D142</f>
        <v>6.4</v>
      </c>
      <c r="E80" s="18">
        <f>'Розшифровка 2 до формування'!E142</f>
        <v>2</v>
      </c>
      <c r="F80" s="18">
        <f>'Розшифровка 2 до формування'!F142</f>
        <v>1.8</v>
      </c>
      <c r="G80" s="15">
        <f t="shared" si="18"/>
        <v>-0.19999999999999996</v>
      </c>
      <c r="H80" s="15">
        <f t="shared" si="19"/>
        <v>90</v>
      </c>
      <c r="I80" s="178"/>
      <c r="K80" s="25"/>
    </row>
    <row r="81" spans="1:9" s="5" customFormat="1" ht="30" customHeight="1">
      <c r="A81" s="198"/>
      <c r="B81" s="17" t="s">
        <v>169</v>
      </c>
      <c r="C81" s="24"/>
      <c r="D81" s="18">
        <f>'Розшифровка 2 до формування'!D143</f>
        <v>23.2</v>
      </c>
      <c r="E81" s="18">
        <f>'Розшифровка 2 до формування'!E143</f>
        <v>24.3</v>
      </c>
      <c r="F81" s="18">
        <f>'Розшифровка 2 до формування'!F143</f>
        <v>33.799999999999997</v>
      </c>
      <c r="G81" s="15">
        <f t="shared" si="18"/>
        <v>9.4999999999999964</v>
      </c>
      <c r="H81" s="15">
        <f t="shared" si="19"/>
        <v>139.0946502057613</v>
      </c>
      <c r="I81" s="178"/>
    </row>
    <row r="82" spans="1:9" s="5" customFormat="1" ht="30" customHeight="1">
      <c r="A82" s="198"/>
      <c r="B82" s="17" t="s">
        <v>226</v>
      </c>
      <c r="C82" s="24"/>
      <c r="D82" s="18">
        <f>'Розшифровка 2 до формування'!D91+'Розшифровка 2 до формування'!D177+'Розшифровка 2 до формування'!D46</f>
        <v>0</v>
      </c>
      <c r="E82" s="18">
        <f>'Розшифровка 2 до формування'!E91+'Розшифровка 2 до формування'!E177+'Розшифровка 2 до формування'!E46</f>
        <v>24.5</v>
      </c>
      <c r="F82" s="18">
        <f>'Розшифровка 2 до формування'!F91+'Розшифровка 2 до формування'!F177+'Розшифровка 2 до формування'!F46</f>
        <v>5</v>
      </c>
      <c r="G82" s="15">
        <f t="shared" si="18"/>
        <v>-19.5</v>
      </c>
      <c r="H82" s="15">
        <f t="shared" si="19"/>
        <v>20.408163265306122</v>
      </c>
      <c r="I82" s="178"/>
    </row>
    <row r="83" spans="1:9" s="5" customFormat="1" ht="30" customHeight="1">
      <c r="A83" s="198"/>
      <c r="B83" s="17" t="s">
        <v>253</v>
      </c>
      <c r="C83" s="24"/>
      <c r="D83" s="18">
        <f>'Розшифровка 2 до формування'!D207</f>
        <v>20.9</v>
      </c>
      <c r="E83" s="18">
        <f>'Розшифровка 2 до формування'!E207</f>
        <v>0</v>
      </c>
      <c r="F83" s="18">
        <f>'Розшифровка 2 до формування'!F207</f>
        <v>13.5</v>
      </c>
      <c r="G83" s="15">
        <f t="shared" ref="G83:G86" si="20">F83-E83</f>
        <v>13.5</v>
      </c>
      <c r="H83" s="53" t="e">
        <f t="shared" ref="H83:H86" si="21">(F83/E83)*100</f>
        <v>#DIV/0!</v>
      </c>
      <c r="I83" s="178"/>
    </row>
    <row r="84" spans="1:9" s="5" customFormat="1" ht="31.5" customHeight="1">
      <c r="A84" s="198"/>
      <c r="B84" s="17" t="s">
        <v>204</v>
      </c>
      <c r="C84" s="24"/>
      <c r="D84" s="18">
        <f>'Розшифровка 2 до формування'!D160</f>
        <v>5.9</v>
      </c>
      <c r="E84" s="18">
        <f>'Розшифровка 2 до формування'!E160</f>
        <v>0</v>
      </c>
      <c r="F84" s="18">
        <f>'Розшифровка 2 до формування'!F160</f>
        <v>0</v>
      </c>
      <c r="G84" s="15">
        <f t="shared" si="20"/>
        <v>0</v>
      </c>
      <c r="H84" s="53" t="e">
        <f t="shared" si="21"/>
        <v>#DIV/0!</v>
      </c>
      <c r="I84" s="178"/>
    </row>
    <row r="85" spans="1:9" s="5" customFormat="1" ht="31.5" customHeight="1">
      <c r="A85" s="198"/>
      <c r="B85" s="17" t="s">
        <v>44</v>
      </c>
      <c r="C85" s="24"/>
      <c r="D85" s="18">
        <f>'Розшифровка 2 до формування'!D89</f>
        <v>0.6</v>
      </c>
      <c r="E85" s="18">
        <f>'Розшифровка 2 до формування'!E89</f>
        <v>49.9</v>
      </c>
      <c r="F85" s="18">
        <f>'Розшифровка 2 до формування'!F89</f>
        <v>33.299999999999997</v>
      </c>
      <c r="G85" s="15">
        <f t="shared" si="20"/>
        <v>-16.600000000000001</v>
      </c>
      <c r="H85" s="15">
        <f t="shared" si="21"/>
        <v>66.733466933867732</v>
      </c>
      <c r="I85" s="178"/>
    </row>
    <row r="86" spans="1:9" s="5" customFormat="1" ht="31.5" customHeight="1">
      <c r="A86" s="198"/>
      <c r="B86" s="17" t="s">
        <v>195</v>
      </c>
      <c r="C86" s="24"/>
      <c r="D86" s="18">
        <f>'Розшифровка 2 до формування'!D90</f>
        <v>0</v>
      </c>
      <c r="E86" s="18">
        <f>'Розшифровка 2 до формування'!E90</f>
        <v>35</v>
      </c>
      <c r="F86" s="18">
        <f>'Розшифровка 2 до формування'!F90</f>
        <v>0</v>
      </c>
      <c r="G86" s="15">
        <f t="shared" si="20"/>
        <v>-35</v>
      </c>
      <c r="H86" s="15">
        <f t="shared" si="21"/>
        <v>0</v>
      </c>
      <c r="I86" s="178"/>
    </row>
    <row r="87" spans="1:9">
      <c r="B87" s="7"/>
      <c r="D87" s="104"/>
      <c r="E87" s="6"/>
      <c r="F87" s="6"/>
    </row>
    <row r="88" spans="1:9" ht="24.75" customHeight="1">
      <c r="B88" s="26" t="s">
        <v>212</v>
      </c>
      <c r="C88" s="27"/>
      <c r="D88" s="221"/>
      <c r="E88" s="221"/>
      <c r="F88" s="218" t="s">
        <v>185</v>
      </c>
      <c r="G88" s="218"/>
      <c r="H88" s="218"/>
      <c r="I88" s="179"/>
    </row>
    <row r="89" spans="1:9">
      <c r="B89" s="199" t="s">
        <v>60</v>
      </c>
      <c r="C89" s="2"/>
      <c r="D89" s="222" t="s">
        <v>66</v>
      </c>
      <c r="E89" s="222"/>
      <c r="F89" s="219" t="s">
        <v>17</v>
      </c>
      <c r="G89" s="219"/>
      <c r="H89" s="219"/>
    </row>
    <row r="90" spans="1:9">
      <c r="B90" s="7"/>
      <c r="D90" s="104"/>
      <c r="E90" s="6"/>
      <c r="F90" s="6"/>
    </row>
    <row r="91" spans="1:9">
      <c r="B91" s="7"/>
      <c r="D91" s="104"/>
      <c r="E91" s="6"/>
      <c r="F91" s="6"/>
    </row>
    <row r="92" spans="1:9">
      <c r="B92" s="7"/>
      <c r="D92" s="104"/>
      <c r="E92" s="6"/>
      <c r="F92" s="6"/>
    </row>
    <row r="93" spans="1:9">
      <c r="B93" s="7"/>
      <c r="D93" s="104"/>
      <c r="E93" s="6"/>
      <c r="F93" s="6"/>
    </row>
    <row r="94" spans="1:9">
      <c r="B94" s="7"/>
      <c r="D94" s="104"/>
      <c r="E94" s="6"/>
      <c r="F94" s="6"/>
    </row>
    <row r="95" spans="1:9">
      <c r="B95" s="7"/>
      <c r="D95" s="104"/>
      <c r="E95" s="6"/>
      <c r="F95" s="6"/>
    </row>
    <row r="96" spans="1:9">
      <c r="B96" s="7"/>
      <c r="D96" s="104"/>
      <c r="E96" s="6"/>
      <c r="F96" s="6"/>
    </row>
    <row r="97" spans="2:6">
      <c r="B97" s="7"/>
      <c r="D97" s="104"/>
      <c r="E97" s="6"/>
      <c r="F97" s="6"/>
    </row>
    <row r="98" spans="2:6">
      <c r="B98" s="7"/>
      <c r="D98" s="104"/>
      <c r="E98" s="6"/>
      <c r="F98" s="6"/>
    </row>
    <row r="99" spans="2:6">
      <c r="B99" s="7"/>
      <c r="D99" s="104"/>
      <c r="E99" s="6"/>
      <c r="F99" s="6"/>
    </row>
    <row r="100" spans="2:6">
      <c r="B100" s="7"/>
      <c r="D100" s="104"/>
      <c r="E100" s="6"/>
      <c r="F100" s="6"/>
    </row>
    <row r="101" spans="2:6">
      <c r="B101" s="7"/>
      <c r="D101" s="104"/>
      <c r="E101" s="6"/>
      <c r="F101" s="6"/>
    </row>
    <row r="102" spans="2:6">
      <c r="B102" s="7"/>
      <c r="D102" s="104"/>
      <c r="E102" s="6"/>
      <c r="F102" s="6"/>
    </row>
    <row r="103" spans="2:6">
      <c r="B103" s="7"/>
      <c r="D103" s="104"/>
      <c r="E103" s="6"/>
      <c r="F103" s="6"/>
    </row>
    <row r="104" spans="2:6">
      <c r="B104" s="7"/>
      <c r="D104" s="104"/>
      <c r="E104" s="6"/>
      <c r="F104" s="6"/>
    </row>
    <row r="105" spans="2:6">
      <c r="B105" s="7"/>
      <c r="D105" s="104"/>
      <c r="E105" s="6"/>
      <c r="F105" s="6"/>
    </row>
    <row r="106" spans="2:6">
      <c r="B106" s="7"/>
      <c r="D106" s="104"/>
      <c r="E106" s="6"/>
      <c r="F106" s="6"/>
    </row>
    <row r="107" spans="2:6">
      <c r="B107" s="7"/>
      <c r="D107" s="104"/>
      <c r="E107" s="6"/>
      <c r="F107" s="6"/>
    </row>
    <row r="108" spans="2:6">
      <c r="B108" s="7"/>
      <c r="D108" s="104"/>
      <c r="E108" s="6"/>
      <c r="F108" s="6"/>
    </row>
    <row r="109" spans="2:6">
      <c r="B109" s="7"/>
      <c r="D109" s="104"/>
      <c r="E109" s="6"/>
      <c r="F109" s="6"/>
    </row>
    <row r="110" spans="2:6">
      <c r="B110" s="7"/>
      <c r="D110" s="104"/>
      <c r="E110" s="6"/>
      <c r="F110" s="6"/>
    </row>
    <row r="111" spans="2:6">
      <c r="B111" s="7"/>
      <c r="D111" s="104"/>
      <c r="E111" s="6"/>
      <c r="F111" s="6"/>
    </row>
    <row r="112" spans="2:6">
      <c r="B112" s="7"/>
      <c r="D112" s="104"/>
      <c r="E112" s="6"/>
      <c r="F112" s="6"/>
    </row>
    <row r="113" spans="2:6">
      <c r="B113" s="7"/>
      <c r="D113" s="104"/>
      <c r="E113" s="6"/>
      <c r="F113" s="6"/>
    </row>
    <row r="114" spans="2:6">
      <c r="B114" s="7"/>
      <c r="D114" s="104"/>
      <c r="E114" s="6"/>
      <c r="F114" s="6"/>
    </row>
    <row r="115" spans="2:6">
      <c r="B115" s="7"/>
      <c r="D115" s="104"/>
      <c r="E115" s="6"/>
      <c r="F115" s="6"/>
    </row>
    <row r="116" spans="2:6">
      <c r="B116" s="7"/>
      <c r="D116" s="104"/>
      <c r="E116" s="6"/>
      <c r="F116" s="6"/>
    </row>
    <row r="117" spans="2:6">
      <c r="B117" s="7"/>
      <c r="D117" s="104"/>
      <c r="E117" s="6"/>
      <c r="F117" s="6"/>
    </row>
    <row r="118" spans="2:6">
      <c r="B118" s="7"/>
      <c r="D118" s="104"/>
      <c r="E118" s="6"/>
      <c r="F118" s="6"/>
    </row>
    <row r="119" spans="2:6">
      <c r="B119" s="7"/>
      <c r="D119" s="104"/>
      <c r="E119" s="6"/>
      <c r="F119" s="6"/>
    </row>
    <row r="120" spans="2:6">
      <c r="B120" s="7"/>
      <c r="D120" s="104"/>
      <c r="E120" s="6"/>
      <c r="F120" s="6"/>
    </row>
    <row r="121" spans="2:6">
      <c r="B121" s="7"/>
      <c r="D121" s="104"/>
      <c r="E121" s="6"/>
      <c r="F121" s="6"/>
    </row>
    <row r="122" spans="2:6">
      <c r="B122" s="7"/>
      <c r="D122" s="104"/>
      <c r="E122" s="6"/>
      <c r="F122" s="6"/>
    </row>
    <row r="123" spans="2:6">
      <c r="B123" s="7"/>
      <c r="D123" s="104"/>
      <c r="E123" s="6"/>
      <c r="F123" s="6"/>
    </row>
    <row r="124" spans="2:6">
      <c r="B124" s="7"/>
      <c r="D124" s="104"/>
      <c r="E124" s="6"/>
      <c r="F124" s="6"/>
    </row>
    <row r="125" spans="2:6">
      <c r="B125" s="7"/>
      <c r="D125" s="104"/>
      <c r="E125" s="6"/>
      <c r="F125" s="6"/>
    </row>
    <row r="126" spans="2:6">
      <c r="B126" s="7"/>
      <c r="D126" s="104"/>
      <c r="E126" s="6"/>
      <c r="F126" s="6"/>
    </row>
    <row r="127" spans="2:6">
      <c r="B127" s="7"/>
      <c r="D127" s="104"/>
      <c r="E127" s="6"/>
      <c r="F127" s="6"/>
    </row>
    <row r="128" spans="2:6">
      <c r="B128" s="7"/>
      <c r="D128" s="104"/>
      <c r="E128" s="6"/>
      <c r="F128" s="6"/>
    </row>
    <row r="129" spans="2:6">
      <c r="B129" s="7"/>
      <c r="D129" s="104"/>
      <c r="E129" s="6"/>
      <c r="F129" s="6"/>
    </row>
    <row r="130" spans="2:6">
      <c r="B130" s="7"/>
      <c r="D130" s="104"/>
      <c r="E130" s="6"/>
      <c r="F130" s="6"/>
    </row>
    <row r="131" spans="2:6">
      <c r="B131" s="7"/>
      <c r="D131" s="104"/>
      <c r="E131" s="6"/>
      <c r="F131" s="6"/>
    </row>
    <row r="132" spans="2:6">
      <c r="B132" s="7"/>
      <c r="D132" s="104"/>
      <c r="E132" s="6"/>
      <c r="F132" s="6"/>
    </row>
    <row r="133" spans="2:6">
      <c r="B133" s="7"/>
      <c r="D133" s="104"/>
      <c r="E133" s="6"/>
      <c r="F133" s="6"/>
    </row>
    <row r="134" spans="2:6">
      <c r="B134" s="7"/>
      <c r="D134" s="104"/>
      <c r="E134" s="6"/>
      <c r="F134" s="6"/>
    </row>
    <row r="135" spans="2:6">
      <c r="B135" s="7"/>
      <c r="D135" s="104"/>
      <c r="E135" s="6"/>
      <c r="F135" s="6"/>
    </row>
    <row r="136" spans="2:6">
      <c r="B136" s="7"/>
      <c r="D136" s="104"/>
      <c r="E136" s="6"/>
      <c r="F136" s="6"/>
    </row>
    <row r="137" spans="2:6">
      <c r="B137" s="7"/>
      <c r="D137" s="104"/>
      <c r="E137" s="6"/>
      <c r="F137" s="6"/>
    </row>
    <row r="138" spans="2:6">
      <c r="B138" s="7"/>
      <c r="D138" s="104"/>
      <c r="E138" s="6"/>
      <c r="F138" s="6"/>
    </row>
    <row r="139" spans="2:6">
      <c r="B139" s="7"/>
      <c r="D139" s="104"/>
      <c r="E139" s="6"/>
      <c r="F139" s="6"/>
    </row>
    <row r="140" spans="2:6">
      <c r="B140" s="7"/>
      <c r="D140" s="104"/>
      <c r="E140" s="6"/>
      <c r="F140" s="6"/>
    </row>
    <row r="141" spans="2:6">
      <c r="B141" s="7"/>
      <c r="D141" s="104"/>
      <c r="E141" s="6"/>
      <c r="F141" s="6"/>
    </row>
    <row r="142" spans="2:6">
      <c r="B142" s="7"/>
      <c r="D142" s="104"/>
      <c r="E142" s="6"/>
      <c r="F142" s="6"/>
    </row>
    <row r="143" spans="2:6">
      <c r="B143" s="7"/>
      <c r="D143" s="104"/>
      <c r="E143" s="6"/>
      <c r="F143" s="6"/>
    </row>
    <row r="144" spans="2:6">
      <c r="B144" s="7"/>
    </row>
    <row r="145" spans="2:2">
      <c r="B145" s="8"/>
    </row>
    <row r="146" spans="2:2">
      <c r="B146" s="8"/>
    </row>
    <row r="147" spans="2:2">
      <c r="B147" s="8"/>
    </row>
    <row r="148" spans="2:2">
      <c r="B148" s="8"/>
    </row>
    <row r="149" spans="2:2">
      <c r="B149" s="8"/>
    </row>
    <row r="150" spans="2:2">
      <c r="B150" s="8"/>
    </row>
    <row r="151" spans="2:2">
      <c r="B151" s="8"/>
    </row>
    <row r="152" spans="2:2">
      <c r="B152" s="8"/>
    </row>
    <row r="153" spans="2:2">
      <c r="B153" s="8"/>
    </row>
    <row r="154" spans="2:2">
      <c r="B154" s="8"/>
    </row>
    <row r="155" spans="2:2">
      <c r="B155" s="8"/>
    </row>
    <row r="156" spans="2:2">
      <c r="B156" s="8"/>
    </row>
    <row r="157" spans="2:2">
      <c r="B157" s="8"/>
    </row>
    <row r="158" spans="2:2">
      <c r="B158" s="8"/>
    </row>
    <row r="159" spans="2:2">
      <c r="B159" s="8"/>
    </row>
    <row r="160" spans="2:2">
      <c r="B160" s="8"/>
    </row>
    <row r="161" spans="2:2">
      <c r="B161" s="8"/>
    </row>
    <row r="162" spans="2:2">
      <c r="B162" s="8"/>
    </row>
    <row r="163" spans="2:2">
      <c r="B163" s="8"/>
    </row>
    <row r="164" spans="2:2">
      <c r="B164" s="8"/>
    </row>
    <row r="165" spans="2:2">
      <c r="B165" s="8"/>
    </row>
    <row r="166" spans="2:2">
      <c r="B166" s="8"/>
    </row>
    <row r="167" spans="2:2">
      <c r="B167" s="8"/>
    </row>
    <row r="168" spans="2:2">
      <c r="B168" s="8"/>
    </row>
    <row r="169" spans="2:2">
      <c r="B169" s="8"/>
    </row>
    <row r="170" spans="2:2">
      <c r="B170" s="8"/>
    </row>
    <row r="171" spans="2:2">
      <c r="B171" s="8"/>
    </row>
    <row r="172" spans="2:2">
      <c r="B172" s="8"/>
    </row>
    <row r="173" spans="2:2">
      <c r="B173" s="8"/>
    </row>
    <row r="174" spans="2:2">
      <c r="B174" s="8"/>
    </row>
    <row r="175" spans="2:2">
      <c r="B175" s="8"/>
    </row>
    <row r="176" spans="2:2">
      <c r="B176" s="8"/>
    </row>
    <row r="177" spans="2:2">
      <c r="B177" s="8"/>
    </row>
    <row r="178" spans="2:2">
      <c r="B178" s="8"/>
    </row>
    <row r="179" spans="2:2">
      <c r="B179" s="8"/>
    </row>
    <row r="180" spans="2:2">
      <c r="B180" s="8"/>
    </row>
    <row r="181" spans="2:2">
      <c r="B181" s="8"/>
    </row>
    <row r="182" spans="2:2">
      <c r="B182" s="8"/>
    </row>
    <row r="183" spans="2:2">
      <c r="B183" s="8"/>
    </row>
    <row r="184" spans="2:2">
      <c r="B184" s="8"/>
    </row>
    <row r="185" spans="2:2">
      <c r="B185" s="8"/>
    </row>
    <row r="186" spans="2:2">
      <c r="B186" s="8"/>
    </row>
    <row r="187" spans="2:2">
      <c r="B187" s="8"/>
    </row>
    <row r="188" spans="2:2">
      <c r="B188" s="8"/>
    </row>
    <row r="189" spans="2:2">
      <c r="B189" s="8"/>
    </row>
    <row r="190" spans="2:2">
      <c r="B190" s="8"/>
    </row>
    <row r="191" spans="2:2">
      <c r="B191" s="8"/>
    </row>
    <row r="192" spans="2:2">
      <c r="B192" s="8"/>
    </row>
    <row r="193" spans="2:2">
      <c r="B193" s="8"/>
    </row>
    <row r="194" spans="2:2">
      <c r="B194" s="8"/>
    </row>
    <row r="195" spans="2:2">
      <c r="B195" s="8"/>
    </row>
    <row r="196" spans="2:2">
      <c r="B196" s="8"/>
    </row>
    <row r="197" spans="2:2">
      <c r="B197" s="8"/>
    </row>
    <row r="198" spans="2:2">
      <c r="B198" s="8"/>
    </row>
    <row r="199" spans="2:2">
      <c r="B199" s="8"/>
    </row>
    <row r="200" spans="2:2">
      <c r="B200" s="8"/>
    </row>
    <row r="201" spans="2:2">
      <c r="B201" s="8"/>
    </row>
    <row r="202" spans="2:2">
      <c r="B202" s="8"/>
    </row>
    <row r="203" spans="2:2">
      <c r="B203" s="8"/>
    </row>
    <row r="204" spans="2:2">
      <c r="B204" s="8"/>
    </row>
    <row r="205" spans="2:2">
      <c r="B205" s="8"/>
    </row>
    <row r="206" spans="2:2">
      <c r="B206" s="8"/>
    </row>
    <row r="207" spans="2:2">
      <c r="B207" s="8"/>
    </row>
    <row r="208" spans="2:2">
      <c r="B208" s="8"/>
    </row>
    <row r="209" spans="2:2">
      <c r="B209" s="8"/>
    </row>
    <row r="210" spans="2:2">
      <c r="B210" s="8"/>
    </row>
    <row r="211" spans="2:2">
      <c r="B211" s="8"/>
    </row>
    <row r="212" spans="2:2">
      <c r="B212" s="8"/>
    </row>
    <row r="213" spans="2:2">
      <c r="B213" s="8"/>
    </row>
    <row r="214" spans="2:2">
      <c r="B214" s="8"/>
    </row>
    <row r="215" spans="2:2">
      <c r="B215" s="8"/>
    </row>
    <row r="216" spans="2:2">
      <c r="B216" s="8"/>
    </row>
    <row r="217" spans="2:2">
      <c r="B217" s="8"/>
    </row>
    <row r="218" spans="2:2">
      <c r="B218" s="8"/>
    </row>
    <row r="219" spans="2:2">
      <c r="B219" s="8"/>
    </row>
    <row r="220" spans="2:2">
      <c r="B220" s="8"/>
    </row>
    <row r="221" spans="2:2">
      <c r="B221" s="8"/>
    </row>
    <row r="222" spans="2:2">
      <c r="B222" s="8"/>
    </row>
    <row r="223" spans="2:2">
      <c r="B223" s="8"/>
    </row>
    <row r="224" spans="2:2">
      <c r="B224" s="8"/>
    </row>
    <row r="225" spans="2:2">
      <c r="B225" s="8"/>
    </row>
    <row r="226" spans="2:2">
      <c r="B226" s="8"/>
    </row>
    <row r="227" spans="2:2">
      <c r="B227" s="8"/>
    </row>
    <row r="228" spans="2:2">
      <c r="B228" s="8"/>
    </row>
    <row r="229" spans="2:2">
      <c r="B229" s="8"/>
    </row>
    <row r="230" spans="2:2">
      <c r="B230" s="8"/>
    </row>
    <row r="231" spans="2:2">
      <c r="B231" s="8"/>
    </row>
    <row r="232" spans="2:2">
      <c r="B232" s="8"/>
    </row>
    <row r="233" spans="2:2">
      <c r="B233" s="8"/>
    </row>
    <row r="234" spans="2:2">
      <c r="B234" s="8"/>
    </row>
    <row r="235" spans="2:2">
      <c r="B235" s="8"/>
    </row>
    <row r="236" spans="2:2">
      <c r="B236" s="8"/>
    </row>
    <row r="237" spans="2:2">
      <c r="B237" s="8"/>
    </row>
    <row r="238" spans="2:2">
      <c r="B238" s="8"/>
    </row>
    <row r="239" spans="2:2">
      <c r="B239" s="8"/>
    </row>
    <row r="240" spans="2:2">
      <c r="B240" s="8"/>
    </row>
    <row r="241" spans="2:2">
      <c r="B241" s="8"/>
    </row>
    <row r="242" spans="2:2">
      <c r="B242" s="8"/>
    </row>
    <row r="243" spans="2:2">
      <c r="B243" s="8"/>
    </row>
    <row r="244" spans="2:2">
      <c r="B244" s="8"/>
    </row>
    <row r="245" spans="2:2">
      <c r="B245" s="8"/>
    </row>
    <row r="246" spans="2:2">
      <c r="B246" s="8"/>
    </row>
    <row r="247" spans="2:2">
      <c r="B247" s="8"/>
    </row>
    <row r="248" spans="2:2">
      <c r="B248" s="8"/>
    </row>
    <row r="249" spans="2:2">
      <c r="B249" s="8"/>
    </row>
    <row r="250" spans="2:2">
      <c r="B250" s="8"/>
    </row>
    <row r="251" spans="2:2">
      <c r="B251" s="8"/>
    </row>
    <row r="252" spans="2:2">
      <c r="B252" s="8"/>
    </row>
    <row r="253" spans="2:2">
      <c r="B253" s="8"/>
    </row>
    <row r="254" spans="2:2">
      <c r="B254" s="8"/>
    </row>
    <row r="255" spans="2:2">
      <c r="B255" s="8"/>
    </row>
    <row r="256" spans="2:2">
      <c r="B256" s="8"/>
    </row>
    <row r="257" spans="2:2">
      <c r="B257" s="8"/>
    </row>
    <row r="258" spans="2:2">
      <c r="B258" s="8"/>
    </row>
    <row r="259" spans="2:2">
      <c r="B259" s="8"/>
    </row>
    <row r="260" spans="2:2">
      <c r="B260" s="8"/>
    </row>
    <row r="261" spans="2:2">
      <c r="B261" s="8"/>
    </row>
    <row r="262" spans="2:2">
      <c r="B262" s="8"/>
    </row>
    <row r="263" spans="2:2">
      <c r="B263" s="8"/>
    </row>
    <row r="264" spans="2:2">
      <c r="B264" s="8"/>
    </row>
    <row r="265" spans="2:2">
      <c r="B265" s="8"/>
    </row>
    <row r="266" spans="2:2">
      <c r="B266" s="8"/>
    </row>
    <row r="267" spans="2:2">
      <c r="B267" s="8"/>
    </row>
    <row r="268" spans="2:2">
      <c r="B268" s="8"/>
    </row>
    <row r="269" spans="2:2">
      <c r="B269" s="8"/>
    </row>
    <row r="270" spans="2:2">
      <c r="B270" s="8"/>
    </row>
    <row r="271" spans="2:2">
      <c r="B271" s="8"/>
    </row>
    <row r="272" spans="2:2">
      <c r="B272" s="8"/>
    </row>
    <row r="273" spans="2:2">
      <c r="B273" s="8"/>
    </row>
    <row r="274" spans="2:2">
      <c r="B274" s="8"/>
    </row>
    <row r="275" spans="2:2">
      <c r="B275" s="8"/>
    </row>
    <row r="276" spans="2:2">
      <c r="B276" s="8"/>
    </row>
    <row r="277" spans="2:2">
      <c r="B277" s="8"/>
    </row>
    <row r="278" spans="2:2">
      <c r="B278" s="8"/>
    </row>
    <row r="279" spans="2:2">
      <c r="B279" s="8"/>
    </row>
    <row r="280" spans="2:2">
      <c r="B280" s="8"/>
    </row>
    <row r="281" spans="2:2">
      <c r="B281" s="8"/>
    </row>
    <row r="282" spans="2:2">
      <c r="B282" s="8"/>
    </row>
    <row r="283" spans="2:2">
      <c r="B283" s="8"/>
    </row>
    <row r="284" spans="2:2">
      <c r="B284" s="8"/>
    </row>
    <row r="285" spans="2:2">
      <c r="B285" s="8"/>
    </row>
    <row r="286" spans="2:2">
      <c r="B286" s="8"/>
    </row>
    <row r="287" spans="2:2">
      <c r="B287" s="8"/>
    </row>
    <row r="288" spans="2:2">
      <c r="B288" s="8"/>
    </row>
    <row r="289" spans="2:2">
      <c r="B289" s="8"/>
    </row>
    <row r="290" spans="2:2">
      <c r="B290" s="8"/>
    </row>
    <row r="291" spans="2:2">
      <c r="B291" s="8"/>
    </row>
    <row r="292" spans="2:2">
      <c r="B292" s="8"/>
    </row>
    <row r="293" spans="2:2">
      <c r="B293" s="8"/>
    </row>
    <row r="294" spans="2:2">
      <c r="B294" s="8"/>
    </row>
    <row r="295" spans="2:2">
      <c r="B295" s="8"/>
    </row>
    <row r="296" spans="2:2">
      <c r="B296" s="8"/>
    </row>
    <row r="297" spans="2:2">
      <c r="B297" s="8"/>
    </row>
    <row r="298" spans="2:2">
      <c r="B298" s="8"/>
    </row>
    <row r="299" spans="2:2">
      <c r="B299" s="8"/>
    </row>
    <row r="300" spans="2:2">
      <c r="B300" s="8"/>
    </row>
    <row r="301" spans="2:2">
      <c r="B301" s="8"/>
    </row>
    <row r="302" spans="2:2">
      <c r="B302" s="8"/>
    </row>
    <row r="303" spans="2:2">
      <c r="B303" s="8"/>
    </row>
    <row r="304" spans="2:2">
      <c r="B304" s="8"/>
    </row>
    <row r="305" spans="2:2">
      <c r="B305" s="8"/>
    </row>
    <row r="306" spans="2:2">
      <c r="B306" s="8"/>
    </row>
    <row r="307" spans="2:2">
      <c r="B307" s="8"/>
    </row>
    <row r="308" spans="2:2">
      <c r="B308" s="8"/>
    </row>
    <row r="309" spans="2:2">
      <c r="B309" s="8"/>
    </row>
    <row r="310" spans="2:2">
      <c r="B310" s="8"/>
    </row>
    <row r="311" spans="2:2">
      <c r="B311" s="8"/>
    </row>
  </sheetData>
  <mergeCells count="18">
    <mergeCell ref="A78:B78"/>
    <mergeCell ref="A77:B77"/>
    <mergeCell ref="F88:H88"/>
    <mergeCell ref="F89:H89"/>
    <mergeCell ref="B2:F2"/>
    <mergeCell ref="D88:E88"/>
    <mergeCell ref="D89:E89"/>
    <mergeCell ref="A21:B21"/>
    <mergeCell ref="A22:B22"/>
    <mergeCell ref="A23:B23"/>
    <mergeCell ref="A30:B30"/>
    <mergeCell ref="A58:B58"/>
    <mergeCell ref="A59:B59"/>
    <mergeCell ref="A6:B6"/>
    <mergeCell ref="A7:B7"/>
    <mergeCell ref="A10:B10"/>
    <mergeCell ref="A18:B18"/>
    <mergeCell ref="A16:B16"/>
  </mergeCells>
  <pageMargins left="0.39370078740157483" right="0.39370078740157483" top="0.78740157480314965" bottom="0.39370078740157483" header="0.31496062992125984" footer="0.31496062992125984"/>
  <pageSetup paperSize="9" scale="82" fitToHeight="7" orientation="landscape" r:id="rId1"/>
  <rowBreaks count="1" manualBreakCount="1">
    <brk id="20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2:R439"/>
  <sheetViews>
    <sheetView view="pageBreakPreview" zoomScale="60" zoomScaleNormal="70" workbookViewId="0">
      <selection activeCell="L4" sqref="L4"/>
    </sheetView>
  </sheetViews>
  <sheetFormatPr defaultRowHeight="18.75"/>
  <cols>
    <col min="1" max="1" width="10" style="2" customWidth="1"/>
    <col min="2" max="2" width="106.140625" style="2" customWidth="1"/>
    <col min="3" max="3" width="14.140625" style="199" customWidth="1"/>
    <col min="4" max="4" width="16.5703125" style="199" customWidth="1"/>
    <col min="5" max="5" width="17.42578125" style="199" customWidth="1"/>
    <col min="6" max="6" width="18.140625" style="199" customWidth="1"/>
    <col min="7" max="7" width="18.28515625" style="2" customWidth="1"/>
    <col min="8" max="8" width="17.7109375" style="2" customWidth="1"/>
    <col min="9" max="9" width="17.42578125" style="2" customWidth="1"/>
    <col min="10" max="10" width="19" style="85" customWidth="1"/>
    <col min="11" max="11" width="21.85546875" style="5" customWidth="1"/>
    <col min="12" max="12" width="22.7109375" style="2" customWidth="1"/>
    <col min="13" max="13" width="21.85546875" style="2" customWidth="1"/>
    <col min="14" max="14" width="15.85546875" style="2" bestFit="1" customWidth="1"/>
    <col min="15" max="15" width="19.140625" style="199" customWidth="1"/>
    <col min="16" max="16" width="13.28515625" style="2" bestFit="1" customWidth="1"/>
    <col min="17" max="17" width="13.85546875" style="2" bestFit="1" customWidth="1"/>
    <col min="18" max="18" width="14.7109375" style="2" bestFit="1" customWidth="1"/>
    <col min="19" max="19" width="13.42578125" style="2" bestFit="1" customWidth="1"/>
    <col min="20" max="16384" width="9.140625" style="2"/>
  </cols>
  <sheetData>
    <row r="2" spans="1:17" ht="22.5" customHeight="1">
      <c r="B2" s="227" t="s">
        <v>118</v>
      </c>
      <c r="C2" s="227"/>
      <c r="D2" s="227"/>
      <c r="E2" s="227"/>
      <c r="F2" s="227"/>
      <c r="G2" s="227"/>
      <c r="H2" s="227"/>
    </row>
    <row r="3" spans="1:17">
      <c r="B3" s="200"/>
      <c r="C3" s="3"/>
      <c r="D3" s="200"/>
      <c r="E3" s="200"/>
      <c r="F3" s="200"/>
      <c r="H3" s="2" t="s">
        <v>65</v>
      </c>
    </row>
    <row r="4" spans="1:17" ht="98.25" customHeight="1">
      <c r="A4" s="4" t="s">
        <v>76</v>
      </c>
      <c r="B4" s="4" t="s">
        <v>23</v>
      </c>
      <c r="C4" s="12" t="s">
        <v>5</v>
      </c>
      <c r="D4" s="12" t="s">
        <v>331</v>
      </c>
      <c r="E4" s="12" t="s">
        <v>330</v>
      </c>
      <c r="F4" s="12" t="s">
        <v>329</v>
      </c>
      <c r="G4" s="12" t="s">
        <v>109</v>
      </c>
      <c r="H4" s="12" t="s">
        <v>112</v>
      </c>
      <c r="N4" s="169"/>
      <c r="O4" s="29"/>
    </row>
    <row r="5" spans="1:17" ht="30.75" customHeight="1">
      <c r="A5" s="23"/>
      <c r="B5" s="4">
        <v>2</v>
      </c>
      <c r="C5" s="12">
        <v>3</v>
      </c>
      <c r="D5" s="12">
        <v>4</v>
      </c>
      <c r="E5" s="12">
        <v>5</v>
      </c>
      <c r="F5" s="12">
        <v>6</v>
      </c>
      <c r="G5" s="4">
        <v>7</v>
      </c>
      <c r="H5" s="4">
        <v>8</v>
      </c>
      <c r="I5" s="20"/>
      <c r="J5" s="25"/>
      <c r="K5" s="30"/>
      <c r="M5" s="20"/>
      <c r="N5" s="25"/>
      <c r="O5" s="31"/>
    </row>
    <row r="6" spans="1:17" ht="36" customHeight="1">
      <c r="A6" s="223" t="s">
        <v>84</v>
      </c>
      <c r="B6" s="223"/>
      <c r="C6" s="166"/>
      <c r="D6" s="13">
        <f>SUM(D7,D47,D92,D112,D130,D137,D144,D156,D161,D178,D184,D208)</f>
        <v>41897.300000000003</v>
      </c>
      <c r="E6" s="13">
        <f>SUM(E7,E47,E92,E112,E130,E137,E144,E156,E161,E178,E184,E208)</f>
        <v>48947.399999999994</v>
      </c>
      <c r="F6" s="13">
        <f>SUM(F7,F47,F92,F112,F130,F137,F144,F156,F161,F178,F184,F208)</f>
        <v>47688.9</v>
      </c>
      <c r="G6" s="19">
        <f>F6-E6</f>
        <v>-1258.4999999999927</v>
      </c>
      <c r="H6" s="19">
        <f>(F6/E6)*100</f>
        <v>97.428872626533803</v>
      </c>
      <c r="I6" s="20"/>
      <c r="J6" s="25"/>
      <c r="K6" s="25"/>
      <c r="N6" s="87"/>
      <c r="O6" s="32"/>
      <c r="P6" s="20"/>
    </row>
    <row r="7" spans="1:17" ht="39.75" customHeight="1">
      <c r="A7" s="166" t="s">
        <v>85</v>
      </c>
      <c r="B7" s="22" t="s">
        <v>119</v>
      </c>
      <c r="C7" s="166"/>
      <c r="D7" s="14">
        <f>D9+D35+D42</f>
        <v>32131.399999999998</v>
      </c>
      <c r="E7" s="14">
        <f>E9+E35+E42</f>
        <v>39815.299999999996</v>
      </c>
      <c r="F7" s="14">
        <f>F9+F35+F42</f>
        <v>34747.4</v>
      </c>
      <c r="G7" s="19">
        <f>F7-E7</f>
        <v>-5067.8999999999942</v>
      </c>
      <c r="H7" s="19">
        <f>(F7/E7)*100</f>
        <v>87.271476040617571</v>
      </c>
      <c r="I7" s="20"/>
      <c r="J7" s="25"/>
      <c r="K7" s="25"/>
      <c r="L7" s="25"/>
      <c r="M7" s="25"/>
      <c r="N7" s="34"/>
      <c r="O7" s="33"/>
      <c r="P7" s="34"/>
    </row>
    <row r="8" spans="1:17" ht="24" customHeight="1">
      <c r="A8" s="4"/>
      <c r="B8" s="35" t="s">
        <v>86</v>
      </c>
      <c r="C8" s="12"/>
      <c r="D8" s="18"/>
      <c r="E8" s="18"/>
      <c r="F8" s="18"/>
      <c r="G8" s="19"/>
      <c r="H8" s="19"/>
      <c r="I8" s="20"/>
      <c r="K8" s="25">
        <f>K10+K17+K24</f>
        <v>41897.300000000003</v>
      </c>
      <c r="L8" s="25">
        <f t="shared" ref="L8:M8" si="0">L10+L17+L24</f>
        <v>48947.399999999987</v>
      </c>
      <c r="M8" s="25">
        <f t="shared" si="0"/>
        <v>47688.9</v>
      </c>
      <c r="N8" s="34"/>
      <c r="O8" s="33"/>
    </row>
    <row r="9" spans="1:17" ht="30" customHeight="1">
      <c r="A9" s="36" t="s">
        <v>87</v>
      </c>
      <c r="B9" s="198" t="s">
        <v>90</v>
      </c>
      <c r="C9" s="166">
        <v>1010</v>
      </c>
      <c r="D9" s="14">
        <f>D10+D16+D17+D19+D18</f>
        <v>30074.3</v>
      </c>
      <c r="E9" s="14">
        <f>E10+E16+E17+E19</f>
        <v>37264.499999999993</v>
      </c>
      <c r="F9" s="14">
        <f>F10+F16+F17+F19+F18</f>
        <v>32081.200000000001</v>
      </c>
      <c r="G9" s="19">
        <f>F9-E9</f>
        <v>-5183.299999999992</v>
      </c>
      <c r="H9" s="19">
        <f>(F9/E9)*100</f>
        <v>86.090515101504124</v>
      </c>
      <c r="I9" s="20"/>
      <c r="K9" s="87"/>
      <c r="L9" s="87"/>
      <c r="M9" s="87"/>
      <c r="N9" s="34"/>
      <c r="O9" s="33"/>
      <c r="P9" s="5"/>
    </row>
    <row r="10" spans="1:17" ht="28.5" customHeight="1">
      <c r="A10" s="37" t="s">
        <v>136</v>
      </c>
      <c r="B10" s="38" t="s">
        <v>106</v>
      </c>
      <c r="C10" s="39">
        <v>1011</v>
      </c>
      <c r="D10" s="40">
        <f>SUM(D11:D15)</f>
        <v>5266.2</v>
      </c>
      <c r="E10" s="40">
        <f>SUM(E11:E15)</f>
        <v>6180</v>
      </c>
      <c r="F10" s="40">
        <f>SUM(F11:F15)</f>
        <v>4227.5</v>
      </c>
      <c r="G10" s="41">
        <f>F10-E10</f>
        <v>-1952.5</v>
      </c>
      <c r="H10" s="41">
        <f>(F10/E10)*100</f>
        <v>68.406148867313917</v>
      </c>
      <c r="I10" s="20"/>
      <c r="J10" s="85">
        <v>1010</v>
      </c>
      <c r="K10" s="87">
        <f>SUM(D9,D49,D94,D114,D132,D146,D163,D180,D186,D210)</f>
        <v>39275.4</v>
      </c>
      <c r="L10" s="87">
        <f>SUM(E9,E49,E94,E114,E132,E146,E163,E180,E186,E210)</f>
        <v>45455.69999999999</v>
      </c>
      <c r="M10" s="87">
        <f>SUM(F9,F49,F94,F114,F132,F146,F163,F180,F186,F210)</f>
        <v>43657.2</v>
      </c>
      <c r="N10" s="34"/>
      <c r="O10" s="33"/>
      <c r="P10" s="5"/>
      <c r="Q10" s="20"/>
    </row>
    <row r="11" spans="1:17" ht="25.5" customHeight="1">
      <c r="A11" s="42"/>
      <c r="B11" s="17" t="s">
        <v>137</v>
      </c>
      <c r="C11" s="43"/>
      <c r="D11" s="18">
        <v>4903.8999999999996</v>
      </c>
      <c r="E11" s="18">
        <v>5500</v>
      </c>
      <c r="F11" s="18">
        <f>3600.2</f>
        <v>3600.2</v>
      </c>
      <c r="G11" s="15">
        <f t="shared" ref="G11:G20" si="1">F11-E11</f>
        <v>-1899.8000000000002</v>
      </c>
      <c r="H11" s="15">
        <f t="shared" ref="H11:H20" si="2">(F11/E11)*100</f>
        <v>65.458181818181814</v>
      </c>
      <c r="J11" s="85">
        <v>1011</v>
      </c>
      <c r="K11" s="34">
        <f>SUM(D10,D50,D95,D115,D133,D164,D181,D187,)</f>
        <v>8323.7999999999993</v>
      </c>
      <c r="L11" s="34">
        <f>SUM(E10,E50,E95,E115,E133,E164,E181,E187,)</f>
        <v>6226</v>
      </c>
      <c r="M11" s="34">
        <f>SUM(F10,F50,F95,F115,F133,F164,F181,F187,)</f>
        <v>8056.1999999999989</v>
      </c>
      <c r="N11" s="34"/>
      <c r="O11" s="33"/>
      <c r="P11" s="34"/>
    </row>
    <row r="12" spans="1:17" ht="27" customHeight="1">
      <c r="A12" s="42"/>
      <c r="B12" s="17" t="s">
        <v>138</v>
      </c>
      <c r="C12" s="43"/>
      <c r="D12" s="18">
        <v>185.6</v>
      </c>
      <c r="E12" s="18">
        <v>300</v>
      </c>
      <c r="F12" s="18">
        <f>388.4+1.8</f>
        <v>390.2</v>
      </c>
      <c r="G12" s="15">
        <f t="shared" si="1"/>
        <v>90.199999999999989</v>
      </c>
      <c r="H12" s="15">
        <f t="shared" si="2"/>
        <v>130.06666666666666</v>
      </c>
      <c r="J12" s="85">
        <v>1012</v>
      </c>
      <c r="K12" s="34">
        <f>SUM(D16,D56,)</f>
        <v>20505.100000000002</v>
      </c>
      <c r="L12" s="34">
        <f t="shared" ref="L12:M12" si="3">SUM(E16,E56,)</f>
        <v>23793.1</v>
      </c>
      <c r="M12" s="34">
        <f t="shared" si="3"/>
        <v>22094.399999999998</v>
      </c>
      <c r="N12" s="34"/>
      <c r="P12" s="5"/>
    </row>
    <row r="13" spans="1:17" ht="37.5" customHeight="1">
      <c r="A13" s="42"/>
      <c r="B13" s="17" t="s">
        <v>159</v>
      </c>
      <c r="C13" s="43"/>
      <c r="D13" s="18">
        <v>101.5</v>
      </c>
      <c r="E13" s="18">
        <v>250</v>
      </c>
      <c r="F13" s="18">
        <v>161.5</v>
      </c>
      <c r="G13" s="15">
        <f t="shared" si="1"/>
        <v>-88.5</v>
      </c>
      <c r="H13" s="15">
        <f t="shared" si="2"/>
        <v>64.600000000000009</v>
      </c>
      <c r="J13" s="85">
        <v>1013</v>
      </c>
      <c r="K13" s="34">
        <f>SUM(D17,D57,)</f>
        <v>4282.8999999999996</v>
      </c>
      <c r="L13" s="34">
        <f t="shared" ref="L13:M13" si="4">SUM(E17,E57,)</f>
        <v>5471.8</v>
      </c>
      <c r="M13" s="34">
        <f t="shared" si="4"/>
        <v>4587.2999999999993</v>
      </c>
      <c r="N13" s="34"/>
      <c r="O13" s="33"/>
    </row>
    <row r="14" spans="1:17" ht="27.75" customHeight="1">
      <c r="A14" s="42"/>
      <c r="B14" s="259" t="s">
        <v>160</v>
      </c>
      <c r="C14" s="43"/>
      <c r="D14" s="18"/>
      <c r="E14" s="18">
        <v>10</v>
      </c>
      <c r="F14" s="18"/>
      <c r="G14" s="15">
        <f t="shared" si="1"/>
        <v>-10</v>
      </c>
      <c r="H14" s="15">
        <f t="shared" si="2"/>
        <v>0</v>
      </c>
      <c r="J14" s="85">
        <v>1014</v>
      </c>
      <c r="K14" s="34">
        <f>SUM(D18,D58,D190,D211)</f>
        <v>1727.2</v>
      </c>
      <c r="L14" s="34">
        <f>SUM(E18,E58,E190,E211)</f>
        <v>2274</v>
      </c>
      <c r="M14" s="34">
        <f>SUM(F18,F58,F190,F211)</f>
        <v>1751.1000000000001</v>
      </c>
      <c r="N14" s="34"/>
      <c r="O14" s="33"/>
    </row>
    <row r="15" spans="1:17" ht="27" customHeight="1">
      <c r="A15" s="42"/>
      <c r="B15" s="17" t="s">
        <v>173</v>
      </c>
      <c r="C15" s="43"/>
      <c r="D15" s="18">
        <v>75.2</v>
      </c>
      <c r="E15" s="18">
        <v>120</v>
      </c>
      <c r="F15" s="18">
        <v>75.599999999999994</v>
      </c>
      <c r="G15" s="15">
        <f t="shared" si="1"/>
        <v>-44.400000000000006</v>
      </c>
      <c r="H15" s="15">
        <f t="shared" si="2"/>
        <v>63</v>
      </c>
      <c r="J15" s="85">
        <v>1015</v>
      </c>
      <c r="K15" s="34">
        <f>SUM(D19,D59,D98,D118,D147,D170,D191,)</f>
        <v>4436.4000000000005</v>
      </c>
      <c r="L15" s="34">
        <f>SUM(E19,E59,E98,E118,E147,E170,E191,)</f>
        <v>7690.7999999999993</v>
      </c>
      <c r="M15" s="34">
        <f>SUM(F19,F59,F98,F118,F147,F170,F191,)</f>
        <v>7168.1999999999989</v>
      </c>
      <c r="N15" s="87"/>
      <c r="O15" s="87"/>
    </row>
    <row r="16" spans="1:17" ht="26.25" customHeight="1">
      <c r="A16" s="37" t="s">
        <v>139</v>
      </c>
      <c r="B16" s="38" t="s">
        <v>2</v>
      </c>
      <c r="C16" s="45">
        <v>1012</v>
      </c>
      <c r="D16" s="40">
        <v>20379.400000000001</v>
      </c>
      <c r="E16" s="40">
        <v>23740.6</v>
      </c>
      <c r="F16" s="40">
        <f>22068.1</f>
        <v>22068.1</v>
      </c>
      <c r="G16" s="41">
        <f t="shared" si="1"/>
        <v>-1672.5</v>
      </c>
      <c r="H16" s="41">
        <f t="shared" si="2"/>
        <v>92.955106442128681</v>
      </c>
      <c r="K16" s="34"/>
      <c r="L16" s="34"/>
      <c r="M16" s="34"/>
      <c r="N16" s="34"/>
      <c r="O16" s="34"/>
    </row>
    <row r="17" spans="1:18" ht="27" customHeight="1">
      <c r="A17" s="37" t="s">
        <v>140</v>
      </c>
      <c r="B17" s="38" t="s">
        <v>3</v>
      </c>
      <c r="C17" s="45">
        <v>1013</v>
      </c>
      <c r="D17" s="40">
        <v>4257.3999999999996</v>
      </c>
      <c r="E17" s="40">
        <v>5460.2</v>
      </c>
      <c r="F17" s="40">
        <f>4585.9</f>
        <v>4585.8999999999996</v>
      </c>
      <c r="G17" s="41">
        <f t="shared" si="1"/>
        <v>-874.30000000000018</v>
      </c>
      <c r="H17" s="41">
        <f t="shared" si="2"/>
        <v>83.987766015896852</v>
      </c>
      <c r="J17" s="85">
        <v>1020</v>
      </c>
      <c r="K17" s="87">
        <f>SUM(D35,D75,D105,D124,D152,D197,D213)</f>
        <v>2084.1</v>
      </c>
      <c r="L17" s="87">
        <f>SUM(E35,E75,E105,E124,E152,E197,E213)</f>
        <v>3350.9999999999995</v>
      </c>
      <c r="M17" s="87">
        <f>SUM(F35,F75,F105,F124,F152,F197,F213)</f>
        <v>3529.4</v>
      </c>
      <c r="N17" s="34"/>
      <c r="O17" s="34"/>
      <c r="P17" s="20"/>
      <c r="Q17" s="20"/>
      <c r="R17" s="20"/>
    </row>
    <row r="18" spans="1:18" ht="26.25" customHeight="1">
      <c r="A18" s="37" t="s">
        <v>141</v>
      </c>
      <c r="B18" s="38" t="s">
        <v>4</v>
      </c>
      <c r="C18" s="45">
        <v>1014</v>
      </c>
      <c r="D18" s="40">
        <v>32.200000000000003</v>
      </c>
      <c r="E18" s="40"/>
      <c r="F18" s="40">
        <f>231.2+7.3</f>
        <v>238.5</v>
      </c>
      <c r="G18" s="41">
        <f t="shared" si="1"/>
        <v>238.5</v>
      </c>
      <c r="H18" s="187" t="e">
        <f t="shared" si="2"/>
        <v>#DIV/0!</v>
      </c>
      <c r="I18" s="46"/>
      <c r="J18" s="85">
        <v>1021</v>
      </c>
      <c r="K18" s="87"/>
      <c r="L18" s="87"/>
      <c r="M18" s="87"/>
      <c r="N18" s="34"/>
      <c r="O18" s="34"/>
    </row>
    <row r="19" spans="1:18" ht="26.25" customHeight="1">
      <c r="A19" s="37" t="s">
        <v>142</v>
      </c>
      <c r="B19" s="38" t="s">
        <v>143</v>
      </c>
      <c r="C19" s="45">
        <v>1015</v>
      </c>
      <c r="D19" s="40">
        <f>SUM(D20:D34)</f>
        <v>139.1</v>
      </c>
      <c r="E19" s="40">
        <f>SUM(E20:E34)</f>
        <v>1883.7</v>
      </c>
      <c r="F19" s="40">
        <f>SUM(F20:F34)</f>
        <v>961.19999999999993</v>
      </c>
      <c r="G19" s="41">
        <f t="shared" si="1"/>
        <v>-922.50000000000011</v>
      </c>
      <c r="H19" s="41">
        <f t="shared" si="2"/>
        <v>51.027233635929278</v>
      </c>
      <c r="I19" s="80"/>
      <c r="J19" s="85">
        <v>1022</v>
      </c>
      <c r="K19" s="34">
        <f>SUM(D36,)</f>
        <v>1315.7</v>
      </c>
      <c r="L19" s="34">
        <f t="shared" ref="L19:M19" si="5">SUM(E36,)</f>
        <v>2051.6</v>
      </c>
      <c r="M19" s="34">
        <f t="shared" si="5"/>
        <v>1886.4</v>
      </c>
      <c r="N19" s="34"/>
      <c r="O19" s="34"/>
      <c r="P19" s="34"/>
    </row>
    <row r="20" spans="1:18" ht="27" customHeight="1">
      <c r="A20" s="47"/>
      <c r="B20" s="254" t="s">
        <v>144</v>
      </c>
      <c r="C20" s="16"/>
      <c r="D20" s="18"/>
      <c r="E20" s="18">
        <v>57.5</v>
      </c>
      <c r="F20" s="18"/>
      <c r="G20" s="15">
        <f t="shared" si="1"/>
        <v>-57.5</v>
      </c>
      <c r="H20" s="15">
        <f t="shared" si="2"/>
        <v>0</v>
      </c>
      <c r="J20" s="85">
        <v>1023</v>
      </c>
      <c r="K20" s="34">
        <f>SUM(D37,)</f>
        <v>260.8</v>
      </c>
      <c r="L20" s="34">
        <f t="shared" ref="L20:M20" si="6">SUM(E37,)</f>
        <v>471.7</v>
      </c>
      <c r="M20" s="34">
        <f t="shared" si="6"/>
        <v>400</v>
      </c>
      <c r="N20" s="34"/>
      <c r="O20" s="34"/>
      <c r="P20" s="5"/>
    </row>
    <row r="21" spans="1:18" ht="26.25" customHeight="1">
      <c r="A21" s="47"/>
      <c r="B21" s="17" t="s">
        <v>145</v>
      </c>
      <c r="C21" s="16"/>
      <c r="D21" s="18">
        <v>17</v>
      </c>
      <c r="E21" s="18">
        <v>250</v>
      </c>
      <c r="F21" s="18">
        <f>225.4-115</f>
        <v>110.4</v>
      </c>
      <c r="G21" s="15">
        <f t="shared" ref="G21:G75" si="7">F21-E21</f>
        <v>-139.6</v>
      </c>
      <c r="H21" s="15">
        <f t="shared" ref="H21:H75" si="8">(F21/E21)*100</f>
        <v>44.160000000000004</v>
      </c>
      <c r="J21" s="85">
        <v>1024</v>
      </c>
      <c r="K21" s="34">
        <f>SUM(D214)</f>
        <v>293.89999999999998</v>
      </c>
      <c r="L21" s="34">
        <f t="shared" ref="L21:M21" si="9">SUM(E214)</f>
        <v>476</v>
      </c>
      <c r="M21" s="34">
        <f t="shared" si="9"/>
        <v>920.1</v>
      </c>
      <c r="N21" s="34"/>
      <c r="O21" s="33"/>
    </row>
    <row r="22" spans="1:18" ht="26.25" customHeight="1">
      <c r="A22" s="47"/>
      <c r="B22" s="17" t="s">
        <v>146</v>
      </c>
      <c r="C22" s="16"/>
      <c r="D22" s="18">
        <v>16.899999999999999</v>
      </c>
      <c r="E22" s="18">
        <v>22.5</v>
      </c>
      <c r="F22" s="18">
        <v>15.5</v>
      </c>
      <c r="G22" s="15">
        <f t="shared" si="7"/>
        <v>-7</v>
      </c>
      <c r="H22" s="15">
        <f t="shared" si="8"/>
        <v>68.888888888888886</v>
      </c>
      <c r="J22" s="85">
        <v>1025</v>
      </c>
      <c r="K22" s="44">
        <f>SUM(D38,D76,D106,D125,D153,D198,)</f>
        <v>213.7</v>
      </c>
      <c r="L22" s="44">
        <f>SUM(E38,E76,E106,E125,E153,E198,)</f>
        <v>351.7</v>
      </c>
      <c r="M22" s="44">
        <f>SUM(F38,F76,F106,F125,F153,F198,)</f>
        <v>322.89999999999992</v>
      </c>
      <c r="N22" s="34"/>
      <c r="O22" s="33"/>
      <c r="P22" s="20"/>
    </row>
    <row r="23" spans="1:18" ht="26.25" customHeight="1">
      <c r="A23" s="47"/>
      <c r="B23" s="17" t="s">
        <v>147</v>
      </c>
      <c r="C23" s="16"/>
      <c r="D23" s="18">
        <v>14.1</v>
      </c>
      <c r="E23" s="18">
        <v>275</v>
      </c>
      <c r="F23" s="18">
        <v>40.799999999999997</v>
      </c>
      <c r="G23" s="15">
        <f t="shared" si="7"/>
        <v>-234.2</v>
      </c>
      <c r="H23" s="15">
        <f t="shared" si="8"/>
        <v>14.836363636363636</v>
      </c>
      <c r="K23" s="34"/>
      <c r="L23" s="34"/>
      <c r="M23" s="34"/>
    </row>
    <row r="24" spans="1:18" ht="26.25" customHeight="1">
      <c r="A24" s="47"/>
      <c r="B24" s="17" t="s">
        <v>258</v>
      </c>
      <c r="C24" s="16"/>
      <c r="D24" s="18"/>
      <c r="E24" s="18">
        <v>106.2</v>
      </c>
      <c r="F24" s="18"/>
      <c r="G24" s="15">
        <f t="shared" si="7"/>
        <v>-106.2</v>
      </c>
      <c r="H24" s="15">
        <f t="shared" si="8"/>
        <v>0</v>
      </c>
      <c r="J24" s="5">
        <v>1030</v>
      </c>
      <c r="K24" s="87">
        <f>SUM(D42,D87,D158,D175,D205,D139)</f>
        <v>537.79999999999995</v>
      </c>
      <c r="L24" s="5">
        <f>SUM(E42,E87,E158,E175,E205,E139)</f>
        <v>140.70000000000002</v>
      </c>
      <c r="M24" s="5">
        <f>SUM(F42,F87,F158,F175,F205,F139)</f>
        <v>502.29999999999995</v>
      </c>
    </row>
    <row r="25" spans="1:18" ht="26.25" customHeight="1">
      <c r="A25" s="47"/>
      <c r="B25" s="17" t="s">
        <v>291</v>
      </c>
      <c r="C25" s="16"/>
      <c r="D25" s="18">
        <v>28.6</v>
      </c>
      <c r="E25" s="18">
        <v>602.5</v>
      </c>
      <c r="F25" s="18">
        <v>230.1</v>
      </c>
      <c r="G25" s="15">
        <f t="shared" si="7"/>
        <v>-372.4</v>
      </c>
      <c r="H25" s="15">
        <f t="shared" si="8"/>
        <v>38.190871369294605</v>
      </c>
      <c r="J25" s="85">
        <v>1031</v>
      </c>
      <c r="K25" s="87"/>
      <c r="L25" s="87"/>
      <c r="M25" s="87"/>
      <c r="N25" s="20"/>
      <c r="O25" s="173"/>
    </row>
    <row r="26" spans="1:18" ht="26.25" customHeight="1">
      <c r="A26" s="47"/>
      <c r="B26" s="17" t="s">
        <v>148</v>
      </c>
      <c r="C26" s="16" t="s">
        <v>205</v>
      </c>
      <c r="D26" s="18">
        <v>14.9</v>
      </c>
      <c r="E26" s="18">
        <v>120</v>
      </c>
      <c r="F26" s="18">
        <v>35</v>
      </c>
      <c r="G26" s="15">
        <f t="shared" si="7"/>
        <v>-85</v>
      </c>
      <c r="H26" s="15">
        <f t="shared" si="8"/>
        <v>29.166666666666668</v>
      </c>
      <c r="J26" s="85">
        <v>1032</v>
      </c>
      <c r="K26" s="34">
        <f>SUM(D43,)</f>
        <v>360.6</v>
      </c>
      <c r="L26" s="34">
        <f t="shared" ref="L26:M26" si="10">SUM(E43,)</f>
        <v>0</v>
      </c>
      <c r="M26" s="34">
        <f t="shared" si="10"/>
        <v>260.89999999999998</v>
      </c>
      <c r="N26" s="34"/>
      <c r="O26" s="33"/>
    </row>
    <row r="27" spans="1:18" ht="26.25" customHeight="1">
      <c r="A27" s="47"/>
      <c r="B27" s="17" t="s">
        <v>149</v>
      </c>
      <c r="C27" s="16"/>
      <c r="D27" s="18"/>
      <c r="E27" s="18">
        <v>50</v>
      </c>
      <c r="F27" s="18"/>
      <c r="G27" s="15">
        <f t="shared" si="7"/>
        <v>-50</v>
      </c>
      <c r="H27" s="15">
        <f t="shared" si="8"/>
        <v>0</v>
      </c>
      <c r="J27" s="85">
        <v>1033</v>
      </c>
      <c r="K27" s="34">
        <f>SUM(D44,)</f>
        <v>120</v>
      </c>
      <c r="L27" s="34">
        <f t="shared" ref="L27:M27" si="11">SUM(E44,)</f>
        <v>0</v>
      </c>
      <c r="M27" s="34">
        <f t="shared" si="11"/>
        <v>114.2</v>
      </c>
      <c r="N27" s="34"/>
      <c r="O27" s="33"/>
      <c r="P27" s="20"/>
    </row>
    <row r="28" spans="1:18" ht="26.25" customHeight="1">
      <c r="A28" s="47"/>
      <c r="B28" s="17" t="s">
        <v>162</v>
      </c>
      <c r="C28" s="16"/>
      <c r="D28" s="18"/>
      <c r="E28" s="18">
        <v>95</v>
      </c>
      <c r="F28" s="18">
        <v>80.2</v>
      </c>
      <c r="G28" s="15">
        <f t="shared" si="7"/>
        <v>-14.799999999999997</v>
      </c>
      <c r="H28" s="15">
        <f t="shared" si="8"/>
        <v>84.421052631578959</v>
      </c>
      <c r="J28" s="85">
        <v>1034</v>
      </c>
      <c r="K28" s="34"/>
      <c r="L28" s="34"/>
      <c r="M28" s="34"/>
      <c r="N28" s="34"/>
      <c r="O28" s="33"/>
    </row>
    <row r="29" spans="1:18" ht="26.25" customHeight="1">
      <c r="A29" s="47"/>
      <c r="B29" s="17" t="s">
        <v>165</v>
      </c>
      <c r="C29" s="16"/>
      <c r="D29" s="18"/>
      <c r="E29" s="18">
        <v>50</v>
      </c>
      <c r="F29" s="18">
        <v>117.6</v>
      </c>
      <c r="G29" s="15">
        <f t="shared" si="7"/>
        <v>67.599999999999994</v>
      </c>
      <c r="H29" s="15">
        <f t="shared" si="8"/>
        <v>235.2</v>
      </c>
      <c r="J29" s="85">
        <v>1035</v>
      </c>
      <c r="K29" s="34">
        <f>SUM(D45,D88,D140,D159,D176,D206,)</f>
        <v>57.2</v>
      </c>
      <c r="L29" s="34">
        <f>SUM(E45,E88,E140,E159,E176,E206,)</f>
        <v>140.70000000000002</v>
      </c>
      <c r="M29" s="34">
        <f>SUM(F45,F88,F140,F159,F176,F206,)</f>
        <v>127.19999999999999</v>
      </c>
      <c r="N29" s="34"/>
      <c r="O29" s="33"/>
      <c r="R29" s="20"/>
    </row>
    <row r="30" spans="1:18" ht="26.25" customHeight="1">
      <c r="A30" s="47"/>
      <c r="B30" s="17" t="s">
        <v>163</v>
      </c>
      <c r="C30" s="16"/>
      <c r="D30" s="18"/>
      <c r="E30" s="18">
        <v>30</v>
      </c>
      <c r="F30" s="18"/>
      <c r="G30" s="15">
        <f t="shared" si="7"/>
        <v>-30</v>
      </c>
      <c r="H30" s="15">
        <f t="shared" si="8"/>
        <v>0</v>
      </c>
      <c r="K30" s="20"/>
      <c r="L30" s="34"/>
      <c r="M30" s="34"/>
      <c r="N30" s="34"/>
      <c r="O30" s="33"/>
    </row>
    <row r="31" spans="1:18" ht="26.25" customHeight="1">
      <c r="A31" s="47"/>
      <c r="B31" s="17" t="s">
        <v>164</v>
      </c>
      <c r="C31" s="16"/>
      <c r="D31" s="18"/>
      <c r="E31" s="18">
        <v>200</v>
      </c>
      <c r="F31" s="18">
        <f>820.2-511.7</f>
        <v>308.50000000000006</v>
      </c>
      <c r="G31" s="15">
        <f t="shared" si="7"/>
        <v>108.50000000000006</v>
      </c>
      <c r="H31" s="15">
        <f t="shared" si="8"/>
        <v>154.25000000000003</v>
      </c>
      <c r="I31" s="85"/>
      <c r="J31" s="85">
        <v>9000</v>
      </c>
      <c r="K31" s="20">
        <f>K11+K18+K25</f>
        <v>8323.7999999999993</v>
      </c>
      <c r="L31" s="34">
        <f t="shared" ref="L31:M31" si="12">L11+L18+L25</f>
        <v>6226</v>
      </c>
      <c r="M31" s="34">
        <f t="shared" si="12"/>
        <v>8056.1999999999989</v>
      </c>
      <c r="N31" s="34"/>
      <c r="O31" s="33"/>
    </row>
    <row r="32" spans="1:18" s="109" customFormat="1" ht="26.25" customHeight="1">
      <c r="A32" s="47"/>
      <c r="B32" s="17" t="s">
        <v>156</v>
      </c>
      <c r="C32" s="16"/>
      <c r="D32" s="175">
        <v>47.6</v>
      </c>
      <c r="E32" s="175"/>
      <c r="F32" s="175"/>
      <c r="G32" s="114">
        <f t="shared" si="7"/>
        <v>0</v>
      </c>
      <c r="H32" s="53" t="e">
        <f t="shared" si="8"/>
        <v>#DIV/0!</v>
      </c>
      <c r="I32" s="5"/>
      <c r="J32" s="5">
        <v>9010</v>
      </c>
      <c r="K32" s="163">
        <f>K12+K19+K26</f>
        <v>22181.4</v>
      </c>
      <c r="L32" s="108">
        <f t="shared" ref="L32:M32" si="13">L12+L19+L26</f>
        <v>25844.699999999997</v>
      </c>
      <c r="M32" s="108">
        <f t="shared" si="13"/>
        <v>24241.7</v>
      </c>
      <c r="N32" s="108"/>
      <c r="O32" s="115"/>
    </row>
    <row r="33" spans="1:18" ht="29.25" customHeight="1">
      <c r="A33" s="47"/>
      <c r="B33" s="254" t="s">
        <v>150</v>
      </c>
      <c r="C33" s="16"/>
      <c r="D33" s="18"/>
      <c r="E33" s="18">
        <v>25</v>
      </c>
      <c r="F33" s="18">
        <v>14</v>
      </c>
      <c r="G33" s="15">
        <f t="shared" si="7"/>
        <v>-11</v>
      </c>
      <c r="H33" s="15">
        <f t="shared" si="8"/>
        <v>56.000000000000007</v>
      </c>
      <c r="I33" s="5"/>
      <c r="J33" s="5">
        <v>9020</v>
      </c>
      <c r="K33" s="20">
        <f>K13+K20+K27</f>
        <v>4663.7</v>
      </c>
      <c r="L33" s="34">
        <f t="shared" ref="L33:M33" si="14">L13+L20+L27</f>
        <v>5943.5</v>
      </c>
      <c r="M33" s="34">
        <f t="shared" si="14"/>
        <v>5101.4999999999991</v>
      </c>
      <c r="N33" s="34"/>
      <c r="O33" s="33"/>
    </row>
    <row r="34" spans="1:18" ht="26.25" customHeight="1">
      <c r="A34" s="47"/>
      <c r="B34" s="17" t="s">
        <v>208</v>
      </c>
      <c r="C34" s="16"/>
      <c r="D34" s="18"/>
      <c r="E34" s="18"/>
      <c r="F34" s="18">
        <f>6.3+2.8</f>
        <v>9.1</v>
      </c>
      <c r="G34" s="15">
        <f t="shared" si="7"/>
        <v>9.1</v>
      </c>
      <c r="H34" s="53" t="e">
        <f t="shared" si="8"/>
        <v>#DIV/0!</v>
      </c>
      <c r="I34" s="85"/>
      <c r="J34" s="85">
        <v>9030</v>
      </c>
      <c r="K34" s="20">
        <f>K14+K21+K28</f>
        <v>2021.1</v>
      </c>
      <c r="L34" s="34">
        <f t="shared" ref="L34:M34" si="15">L14+L21+L28</f>
        <v>2750</v>
      </c>
      <c r="M34" s="34">
        <f t="shared" si="15"/>
        <v>2671.2000000000003</v>
      </c>
      <c r="N34" s="34"/>
      <c r="O34" s="33"/>
    </row>
    <row r="35" spans="1:18" ht="26.25" customHeight="1">
      <c r="A35" s="36" t="s">
        <v>88</v>
      </c>
      <c r="B35" s="22" t="s">
        <v>92</v>
      </c>
      <c r="C35" s="166">
        <v>1020</v>
      </c>
      <c r="D35" s="14">
        <f>D36+D37+D38</f>
        <v>1576.5</v>
      </c>
      <c r="E35" s="14">
        <f>E36+E37+E38</f>
        <v>2536.2999999999997</v>
      </c>
      <c r="F35" s="14">
        <f>F36+F37+F38</f>
        <v>2291.1</v>
      </c>
      <c r="G35" s="19">
        <f t="shared" si="7"/>
        <v>-245.19999999999982</v>
      </c>
      <c r="H35" s="19">
        <f t="shared" si="8"/>
        <v>90.332373930528732</v>
      </c>
      <c r="I35" s="5"/>
      <c r="J35" s="5">
        <v>9040</v>
      </c>
      <c r="K35" s="20">
        <f>K15+K22+K29</f>
        <v>4707.3</v>
      </c>
      <c r="L35" s="34">
        <f t="shared" ref="L35:M35" si="16">L15+L22+L29</f>
        <v>8183.1999999999989</v>
      </c>
      <c r="M35" s="34">
        <f t="shared" si="16"/>
        <v>7618.2999999999984</v>
      </c>
      <c r="N35" s="34"/>
    </row>
    <row r="36" spans="1:18" ht="31.5" customHeight="1">
      <c r="A36" s="37" t="s">
        <v>152</v>
      </c>
      <c r="B36" s="38" t="s">
        <v>2</v>
      </c>
      <c r="C36" s="45">
        <v>1022</v>
      </c>
      <c r="D36" s="40">
        <v>1315.7</v>
      </c>
      <c r="E36" s="40">
        <v>2051.6</v>
      </c>
      <c r="F36" s="40">
        <v>1886.4</v>
      </c>
      <c r="G36" s="41">
        <f t="shared" si="7"/>
        <v>-165.19999999999982</v>
      </c>
      <c r="H36" s="41">
        <f t="shared" si="8"/>
        <v>91.947748099044659</v>
      </c>
      <c r="I36" s="85"/>
      <c r="J36" s="85">
        <v>9050</v>
      </c>
      <c r="K36" s="25">
        <f>SUM(K31:K35)</f>
        <v>41897.300000000003</v>
      </c>
      <c r="L36" s="87">
        <f>SUM(L31:L35)</f>
        <v>48947.399999999994</v>
      </c>
      <c r="M36" s="87">
        <f>SUM(M31:M35)</f>
        <v>47688.899999999994</v>
      </c>
      <c r="O36" s="48"/>
    </row>
    <row r="37" spans="1:18" ht="26.25" customHeight="1">
      <c r="A37" s="37" t="s">
        <v>153</v>
      </c>
      <c r="B37" s="38" t="s">
        <v>3</v>
      </c>
      <c r="C37" s="45">
        <v>1023</v>
      </c>
      <c r="D37" s="40">
        <v>260.8</v>
      </c>
      <c r="E37" s="40">
        <v>471.7</v>
      </c>
      <c r="F37" s="40">
        <v>400</v>
      </c>
      <c r="G37" s="41">
        <f t="shared" si="7"/>
        <v>-71.699999999999989</v>
      </c>
      <c r="H37" s="41">
        <f t="shared" si="8"/>
        <v>84.799660801356808</v>
      </c>
      <c r="J37" s="25"/>
      <c r="L37" s="30"/>
      <c r="M37" s="30"/>
      <c r="O37" s="48"/>
    </row>
    <row r="38" spans="1:18" ht="26.25" customHeight="1">
      <c r="A38" s="37" t="s">
        <v>154</v>
      </c>
      <c r="B38" s="38" t="s">
        <v>155</v>
      </c>
      <c r="C38" s="39">
        <v>1025</v>
      </c>
      <c r="D38" s="40">
        <f>SUM(D39:D41)</f>
        <v>0</v>
      </c>
      <c r="E38" s="40">
        <f>SUM(E39:E41)</f>
        <v>13</v>
      </c>
      <c r="F38" s="40">
        <f>SUM(F39:F41)</f>
        <v>4.7</v>
      </c>
      <c r="G38" s="41">
        <f t="shared" si="7"/>
        <v>-8.3000000000000007</v>
      </c>
      <c r="H38" s="41">
        <f t="shared" si="8"/>
        <v>36.153846153846153</v>
      </c>
      <c r="I38" s="34"/>
      <c r="L38" s="30"/>
      <c r="M38" s="30"/>
      <c r="N38" s="170"/>
      <c r="O38" s="49"/>
    </row>
    <row r="39" spans="1:18" ht="26.25" customHeight="1">
      <c r="A39" s="50"/>
      <c r="B39" s="17" t="s">
        <v>165</v>
      </c>
      <c r="C39" s="43"/>
      <c r="D39" s="18"/>
      <c r="E39" s="18"/>
      <c r="F39" s="18">
        <v>3.9</v>
      </c>
      <c r="G39" s="15">
        <f t="shared" si="7"/>
        <v>3.9</v>
      </c>
      <c r="H39" s="53" t="e">
        <f t="shared" si="8"/>
        <v>#DIV/0!</v>
      </c>
      <c r="N39" s="170"/>
      <c r="O39" s="49"/>
    </row>
    <row r="40" spans="1:18" ht="26.25" customHeight="1">
      <c r="A40" s="50"/>
      <c r="B40" s="17" t="s">
        <v>166</v>
      </c>
      <c r="C40" s="43"/>
      <c r="D40" s="18"/>
      <c r="E40" s="18"/>
      <c r="F40" s="18">
        <v>0.8</v>
      </c>
      <c r="G40" s="15">
        <f t="shared" si="7"/>
        <v>0.8</v>
      </c>
      <c r="H40" s="53" t="e">
        <f t="shared" si="8"/>
        <v>#DIV/0!</v>
      </c>
      <c r="N40" s="170"/>
      <c r="O40" s="49"/>
    </row>
    <row r="41" spans="1:18" ht="27" customHeight="1">
      <c r="A41" s="50"/>
      <c r="B41" s="17" t="s">
        <v>156</v>
      </c>
      <c r="C41" s="43"/>
      <c r="D41" s="18"/>
      <c r="E41" s="18">
        <v>13</v>
      </c>
      <c r="F41" s="18"/>
      <c r="G41" s="15">
        <f t="shared" si="7"/>
        <v>-13</v>
      </c>
      <c r="H41" s="15">
        <f t="shared" si="8"/>
        <v>0</v>
      </c>
      <c r="N41" s="171"/>
      <c r="O41" s="48"/>
    </row>
    <row r="42" spans="1:18" ht="25.5" customHeight="1">
      <c r="A42" s="36" t="s">
        <v>91</v>
      </c>
      <c r="B42" s="165" t="s">
        <v>93</v>
      </c>
      <c r="C42" s="166">
        <v>1030</v>
      </c>
      <c r="D42" s="14">
        <f>D43+D44+D45</f>
        <v>480.6</v>
      </c>
      <c r="E42" s="14">
        <f>E43+E44+E45</f>
        <v>14.5</v>
      </c>
      <c r="F42" s="14">
        <f>F43+F44+F45</f>
        <v>375.09999999999997</v>
      </c>
      <c r="G42" s="19">
        <f t="shared" si="7"/>
        <v>360.59999999999997</v>
      </c>
      <c r="H42" s="19">
        <f t="shared" si="8"/>
        <v>2586.8965517241377</v>
      </c>
      <c r="M42" s="44"/>
    </row>
    <row r="43" spans="1:18" ht="26.25" customHeight="1">
      <c r="A43" s="37" t="s">
        <v>157</v>
      </c>
      <c r="B43" s="38" t="s">
        <v>2</v>
      </c>
      <c r="C43" s="45">
        <v>1032</v>
      </c>
      <c r="D43" s="40">
        <v>360.6</v>
      </c>
      <c r="E43" s="40"/>
      <c r="F43" s="40">
        <v>260.89999999999998</v>
      </c>
      <c r="G43" s="41">
        <f t="shared" si="7"/>
        <v>260.89999999999998</v>
      </c>
      <c r="H43" s="187" t="e">
        <f t="shared" si="8"/>
        <v>#DIV/0!</v>
      </c>
    </row>
    <row r="44" spans="1:18" ht="23.25" customHeight="1">
      <c r="A44" s="37" t="s">
        <v>158</v>
      </c>
      <c r="B44" s="38" t="s">
        <v>3</v>
      </c>
      <c r="C44" s="45">
        <v>1033</v>
      </c>
      <c r="D44" s="40">
        <v>120</v>
      </c>
      <c r="E44" s="40"/>
      <c r="F44" s="40">
        <v>114.2</v>
      </c>
      <c r="G44" s="41">
        <f t="shared" si="7"/>
        <v>114.2</v>
      </c>
      <c r="H44" s="187" t="e">
        <f t="shared" si="8"/>
        <v>#DIV/0!</v>
      </c>
      <c r="L44" s="51"/>
      <c r="M44" s="51"/>
      <c r="R44" s="199"/>
    </row>
    <row r="45" spans="1:18" ht="23.25" customHeight="1">
      <c r="A45" s="37" t="s">
        <v>227</v>
      </c>
      <c r="B45" s="38" t="s">
        <v>93</v>
      </c>
      <c r="C45" s="45">
        <v>1035</v>
      </c>
      <c r="D45" s="40">
        <f>D46</f>
        <v>0</v>
      </c>
      <c r="E45" s="40">
        <f>E46</f>
        <v>14.5</v>
      </c>
      <c r="F45" s="40">
        <f>F46</f>
        <v>0</v>
      </c>
      <c r="G45" s="41">
        <f t="shared" si="7"/>
        <v>-14.5</v>
      </c>
      <c r="H45" s="41">
        <f t="shared" si="8"/>
        <v>0</v>
      </c>
      <c r="L45" s="51"/>
      <c r="M45" s="51"/>
    </row>
    <row r="46" spans="1:18" ht="23.25" customHeight="1">
      <c r="A46" s="37"/>
      <c r="B46" s="17" t="s">
        <v>226</v>
      </c>
      <c r="C46" s="45"/>
      <c r="D46" s="18"/>
      <c r="E46" s="18">
        <v>14.5</v>
      </c>
      <c r="F46" s="18"/>
      <c r="G46" s="41">
        <f t="shared" si="7"/>
        <v>-14.5</v>
      </c>
      <c r="H46" s="41">
        <f t="shared" si="8"/>
        <v>0</v>
      </c>
      <c r="L46" s="51"/>
      <c r="M46" s="51"/>
    </row>
    <row r="47" spans="1:18" ht="27.75" customHeight="1">
      <c r="A47" s="50" t="s">
        <v>94</v>
      </c>
      <c r="B47" s="54" t="s">
        <v>219</v>
      </c>
      <c r="C47" s="52"/>
      <c r="D47" s="14">
        <f>D49+D75+D87</f>
        <v>469.70000000000005</v>
      </c>
      <c r="E47" s="14">
        <f>E49+E75+E87</f>
        <v>769.69999999999993</v>
      </c>
      <c r="F47" s="14">
        <f>F49+F75+F87</f>
        <v>144.80000000000001</v>
      </c>
      <c r="G47" s="19">
        <f t="shared" si="7"/>
        <v>-624.89999999999986</v>
      </c>
      <c r="H47" s="19">
        <f t="shared" si="8"/>
        <v>18.812524360140319</v>
      </c>
      <c r="I47" s="34"/>
      <c r="J47" s="25"/>
      <c r="K47" s="25"/>
      <c r="L47" s="20"/>
    </row>
    <row r="48" spans="1:18" ht="30.75" customHeight="1">
      <c r="A48" s="37"/>
      <c r="B48" s="38" t="s">
        <v>86</v>
      </c>
      <c r="C48" s="45"/>
      <c r="D48" s="40"/>
      <c r="E48" s="40"/>
      <c r="F48" s="40"/>
      <c r="G48" s="41"/>
      <c r="H48" s="41"/>
      <c r="K48" s="25"/>
    </row>
    <row r="49" spans="1:11" ht="27.75" customHeight="1">
      <c r="A49" s="50" t="s">
        <v>402</v>
      </c>
      <c r="B49" s="54" t="s">
        <v>90</v>
      </c>
      <c r="C49" s="52">
        <v>1010</v>
      </c>
      <c r="D49" s="14">
        <f>D50+D56+D57+D58+D59</f>
        <v>361.5</v>
      </c>
      <c r="E49" s="14">
        <f>E50+E56+E57+E59</f>
        <v>454.6</v>
      </c>
      <c r="F49" s="14">
        <f>F50+F56+F57+F59+F58</f>
        <v>86.5</v>
      </c>
      <c r="G49" s="19">
        <f t="shared" si="7"/>
        <v>-368.1</v>
      </c>
      <c r="H49" s="19">
        <f t="shared" si="8"/>
        <v>19.027716673999119</v>
      </c>
    </row>
    <row r="50" spans="1:11" ht="27.75" customHeight="1">
      <c r="A50" s="37" t="s">
        <v>403</v>
      </c>
      <c r="B50" s="38" t="s">
        <v>106</v>
      </c>
      <c r="C50" s="45">
        <v>1011</v>
      </c>
      <c r="D50" s="40">
        <f>SUM(D51:D55)</f>
        <v>55</v>
      </c>
      <c r="E50" s="40">
        <f>SUM(E51:E55)</f>
        <v>46</v>
      </c>
      <c r="F50" s="40">
        <f>SUM(F51:F55)</f>
        <v>7.3999999999999861</v>
      </c>
      <c r="G50" s="41">
        <f t="shared" si="7"/>
        <v>-38.600000000000016</v>
      </c>
      <c r="H50" s="41">
        <f t="shared" si="8"/>
        <v>16.086956521739101</v>
      </c>
    </row>
    <row r="51" spans="1:11" ht="27.75" customHeight="1">
      <c r="A51" s="37"/>
      <c r="B51" s="17" t="s">
        <v>137</v>
      </c>
      <c r="C51" s="16"/>
      <c r="D51" s="18">
        <v>3.8</v>
      </c>
      <c r="E51" s="18">
        <v>6</v>
      </c>
      <c r="F51" s="18">
        <v>0.2</v>
      </c>
      <c r="G51" s="15">
        <f t="shared" si="7"/>
        <v>-5.8</v>
      </c>
      <c r="H51" s="41">
        <f t="shared" si="8"/>
        <v>3.3333333333333335</v>
      </c>
    </row>
    <row r="52" spans="1:11" ht="27.75" customHeight="1">
      <c r="A52" s="37"/>
      <c r="B52" s="17" t="s">
        <v>138</v>
      </c>
      <c r="C52" s="16"/>
      <c r="D52" s="18"/>
      <c r="E52" s="18">
        <v>5</v>
      </c>
      <c r="F52" s="18">
        <v>2.6</v>
      </c>
      <c r="G52" s="15">
        <f t="shared" si="7"/>
        <v>-2.4</v>
      </c>
      <c r="H52" s="41">
        <f t="shared" si="8"/>
        <v>52</v>
      </c>
    </row>
    <row r="53" spans="1:11" ht="27.75" customHeight="1">
      <c r="A53" s="37"/>
      <c r="B53" s="17" t="s">
        <v>221</v>
      </c>
      <c r="C53" s="16"/>
      <c r="D53" s="18"/>
      <c r="E53" s="18">
        <v>3</v>
      </c>
      <c r="F53" s="18">
        <v>0.6</v>
      </c>
      <c r="G53" s="15">
        <f t="shared" si="7"/>
        <v>-2.4</v>
      </c>
      <c r="H53" s="41">
        <f t="shared" si="8"/>
        <v>20</v>
      </c>
    </row>
    <row r="54" spans="1:11" ht="39" customHeight="1">
      <c r="A54" s="37"/>
      <c r="B54" s="17" t="s">
        <v>159</v>
      </c>
      <c r="C54" s="16"/>
      <c r="D54" s="18">
        <v>42.7</v>
      </c>
      <c r="E54" s="18">
        <v>15</v>
      </c>
      <c r="F54" s="18">
        <f>239.6-237</f>
        <v>2.5999999999999943</v>
      </c>
      <c r="G54" s="15">
        <f t="shared" si="7"/>
        <v>-12.400000000000006</v>
      </c>
      <c r="H54" s="41">
        <f t="shared" si="8"/>
        <v>17.333333333333297</v>
      </c>
    </row>
    <row r="55" spans="1:11" ht="25.5" customHeight="1">
      <c r="A55" s="37"/>
      <c r="B55" s="259" t="s">
        <v>160</v>
      </c>
      <c r="C55" s="16"/>
      <c r="D55" s="18">
        <v>8.5</v>
      </c>
      <c r="E55" s="18">
        <v>17</v>
      </c>
      <c r="F55" s="18">
        <f>70.6-69.2</f>
        <v>1.3999999999999915</v>
      </c>
      <c r="G55" s="15">
        <f t="shared" si="7"/>
        <v>-15.600000000000009</v>
      </c>
      <c r="H55" s="41">
        <f t="shared" si="8"/>
        <v>8.2352941176470082</v>
      </c>
    </row>
    <row r="56" spans="1:11" ht="25.5" customHeight="1">
      <c r="A56" s="37" t="s">
        <v>404</v>
      </c>
      <c r="B56" s="55" t="s">
        <v>2</v>
      </c>
      <c r="C56" s="45">
        <v>1012</v>
      </c>
      <c r="D56" s="40">
        <v>125.7</v>
      </c>
      <c r="E56" s="40">
        <v>52.5</v>
      </c>
      <c r="F56" s="40">
        <v>26.3</v>
      </c>
      <c r="G56" s="41">
        <f t="shared" si="7"/>
        <v>-26.2</v>
      </c>
      <c r="H56" s="41">
        <f t="shared" si="8"/>
        <v>50.095238095238095</v>
      </c>
      <c r="K56" s="81"/>
    </row>
    <row r="57" spans="1:11" ht="25.5" customHeight="1">
      <c r="A57" s="37" t="s">
        <v>405</v>
      </c>
      <c r="B57" s="55" t="s">
        <v>3</v>
      </c>
      <c r="C57" s="45">
        <v>1013</v>
      </c>
      <c r="D57" s="40">
        <v>25.5</v>
      </c>
      <c r="E57" s="40">
        <v>11.6</v>
      </c>
      <c r="F57" s="40">
        <v>1.4</v>
      </c>
      <c r="G57" s="41">
        <f t="shared" si="7"/>
        <v>-10.199999999999999</v>
      </c>
      <c r="H57" s="41">
        <f t="shared" si="8"/>
        <v>12.068965517241379</v>
      </c>
    </row>
    <row r="58" spans="1:11" ht="25.5" customHeight="1">
      <c r="A58" s="37" t="s">
        <v>406</v>
      </c>
      <c r="B58" s="55" t="s">
        <v>4</v>
      </c>
      <c r="C58" s="45">
        <v>1014</v>
      </c>
      <c r="D58" s="40">
        <v>15.3</v>
      </c>
      <c r="E58" s="40"/>
      <c r="F58" s="40">
        <v>25.9</v>
      </c>
      <c r="G58" s="41">
        <f t="shared" si="7"/>
        <v>25.9</v>
      </c>
      <c r="H58" s="187" t="e">
        <f t="shared" si="8"/>
        <v>#DIV/0!</v>
      </c>
      <c r="I58" s="20"/>
    </row>
    <row r="59" spans="1:11" ht="25.5" customHeight="1">
      <c r="A59" s="37" t="s">
        <v>407</v>
      </c>
      <c r="B59" s="56" t="s">
        <v>97</v>
      </c>
      <c r="C59" s="45">
        <v>1015</v>
      </c>
      <c r="D59" s="40">
        <f>SUM(D60:D74)</f>
        <v>140</v>
      </c>
      <c r="E59" s="40">
        <f>SUM(E60:E74)</f>
        <v>344.5</v>
      </c>
      <c r="F59" s="40">
        <f>SUM(F60:F74)</f>
        <v>25.500000000000018</v>
      </c>
      <c r="G59" s="41">
        <f t="shared" si="7"/>
        <v>-319</v>
      </c>
      <c r="H59" s="41">
        <f t="shared" si="8"/>
        <v>7.4020319303338216</v>
      </c>
      <c r="I59" s="20"/>
    </row>
    <row r="60" spans="1:11" ht="25.5" customHeight="1">
      <c r="A60" s="50"/>
      <c r="B60" s="21" t="s">
        <v>148</v>
      </c>
      <c r="C60" s="16"/>
      <c r="D60" s="18">
        <v>36.4</v>
      </c>
      <c r="E60" s="18">
        <v>10</v>
      </c>
      <c r="F60" s="18"/>
      <c r="G60" s="15">
        <f t="shared" si="7"/>
        <v>-10</v>
      </c>
      <c r="H60" s="41">
        <f t="shared" si="8"/>
        <v>0</v>
      </c>
    </row>
    <row r="61" spans="1:11" ht="25.5" customHeight="1">
      <c r="A61" s="50"/>
      <c r="B61" s="21" t="s">
        <v>222</v>
      </c>
      <c r="C61" s="16"/>
      <c r="D61" s="18">
        <v>9</v>
      </c>
      <c r="E61" s="18">
        <v>11</v>
      </c>
      <c r="F61" s="18">
        <v>10.5</v>
      </c>
      <c r="G61" s="15">
        <f t="shared" si="7"/>
        <v>-0.5</v>
      </c>
      <c r="H61" s="41">
        <f t="shared" si="8"/>
        <v>95.454545454545453</v>
      </c>
    </row>
    <row r="62" spans="1:11" ht="25.5" customHeight="1">
      <c r="A62" s="50"/>
      <c r="B62" s="21" t="s">
        <v>161</v>
      </c>
      <c r="C62" s="16"/>
      <c r="D62" s="18"/>
      <c r="E62" s="18">
        <v>1</v>
      </c>
      <c r="F62" s="18"/>
      <c r="G62" s="15">
        <f t="shared" si="7"/>
        <v>-1</v>
      </c>
      <c r="H62" s="41">
        <f t="shared" si="8"/>
        <v>0</v>
      </c>
    </row>
    <row r="63" spans="1:11" ht="25.5" customHeight="1">
      <c r="A63" s="50"/>
      <c r="B63" s="21" t="s">
        <v>162</v>
      </c>
      <c r="C63" s="16"/>
      <c r="D63" s="18">
        <v>1</v>
      </c>
      <c r="E63" s="18">
        <v>15</v>
      </c>
      <c r="F63" s="18">
        <f>56-55</f>
        <v>1</v>
      </c>
      <c r="G63" s="15">
        <f t="shared" si="7"/>
        <v>-14</v>
      </c>
      <c r="H63" s="41">
        <f t="shared" si="8"/>
        <v>6.666666666666667</v>
      </c>
    </row>
    <row r="64" spans="1:11" ht="25.5" customHeight="1">
      <c r="A64" s="50"/>
      <c r="B64" s="21" t="s">
        <v>150</v>
      </c>
      <c r="C64" s="16"/>
      <c r="D64" s="18">
        <v>22.5</v>
      </c>
      <c r="E64" s="18">
        <v>15</v>
      </c>
      <c r="F64" s="18">
        <f>14-12</f>
        <v>2</v>
      </c>
      <c r="G64" s="15">
        <f t="shared" si="7"/>
        <v>-13</v>
      </c>
      <c r="H64" s="41">
        <f t="shared" si="8"/>
        <v>13.333333333333334</v>
      </c>
    </row>
    <row r="65" spans="1:8" ht="25.5" customHeight="1">
      <c r="A65" s="50"/>
      <c r="B65" s="21" t="s">
        <v>163</v>
      </c>
      <c r="C65" s="16"/>
      <c r="D65" s="18">
        <v>2.7</v>
      </c>
      <c r="E65" s="18">
        <v>10</v>
      </c>
      <c r="F65" s="18">
        <f>15-12</f>
        <v>3</v>
      </c>
      <c r="G65" s="15">
        <f t="shared" si="7"/>
        <v>-7</v>
      </c>
      <c r="H65" s="41">
        <f t="shared" si="8"/>
        <v>30</v>
      </c>
    </row>
    <row r="66" spans="1:8" ht="25.5" customHeight="1">
      <c r="A66" s="50"/>
      <c r="B66" s="21" t="s">
        <v>207</v>
      </c>
      <c r="C66" s="16"/>
      <c r="D66" s="18"/>
      <c r="E66" s="18">
        <v>12.5</v>
      </c>
      <c r="F66" s="18">
        <f>7.6-5.2</f>
        <v>2.3999999999999995</v>
      </c>
      <c r="G66" s="15">
        <f t="shared" si="7"/>
        <v>-10.100000000000001</v>
      </c>
      <c r="H66" s="41">
        <f t="shared" si="8"/>
        <v>19.199999999999996</v>
      </c>
    </row>
    <row r="67" spans="1:8" ht="25.5" customHeight="1">
      <c r="A67" s="50"/>
      <c r="B67" s="260" t="s">
        <v>223</v>
      </c>
      <c r="C67" s="16"/>
      <c r="D67" s="18"/>
      <c r="E67" s="18">
        <v>20</v>
      </c>
      <c r="F67" s="18">
        <f>193.8-191</f>
        <v>2.8000000000000114</v>
      </c>
      <c r="G67" s="15">
        <f t="shared" si="7"/>
        <v>-17.199999999999989</v>
      </c>
      <c r="H67" s="41">
        <f t="shared" si="8"/>
        <v>14.000000000000057</v>
      </c>
    </row>
    <row r="68" spans="1:8" ht="44.25" customHeight="1">
      <c r="A68" s="50"/>
      <c r="B68" s="17" t="s">
        <v>336</v>
      </c>
      <c r="C68" s="16"/>
      <c r="D68" s="18"/>
      <c r="E68" s="18">
        <v>194</v>
      </c>
      <c r="F68" s="18">
        <f>76.9-75</f>
        <v>1.9000000000000057</v>
      </c>
      <c r="G68" s="15">
        <f t="shared" si="7"/>
        <v>-192.1</v>
      </c>
      <c r="H68" s="41">
        <f t="shared" si="8"/>
        <v>0.97938144329897203</v>
      </c>
    </row>
    <row r="69" spans="1:8" ht="27.75" customHeight="1">
      <c r="A69" s="50"/>
      <c r="B69" s="17" t="s">
        <v>209</v>
      </c>
      <c r="C69" s="16"/>
      <c r="D69" s="18">
        <v>1.1000000000000001</v>
      </c>
      <c r="E69" s="18"/>
      <c r="F69" s="18">
        <v>1.1000000000000001</v>
      </c>
      <c r="G69" s="15">
        <f t="shared" si="7"/>
        <v>1.1000000000000001</v>
      </c>
      <c r="H69" s="187" t="e">
        <f t="shared" si="8"/>
        <v>#DIV/0!</v>
      </c>
    </row>
    <row r="70" spans="1:8" ht="27.75" customHeight="1">
      <c r="A70" s="50"/>
      <c r="B70" s="260" t="s">
        <v>167</v>
      </c>
      <c r="C70" s="16"/>
      <c r="D70" s="18">
        <v>40.799999999999997</v>
      </c>
      <c r="E70" s="18">
        <v>35</v>
      </c>
      <c r="F70" s="18">
        <v>0.5</v>
      </c>
      <c r="G70" s="15">
        <f t="shared" si="7"/>
        <v>-34.5</v>
      </c>
      <c r="H70" s="41">
        <f t="shared" si="8"/>
        <v>1.4285714285714286</v>
      </c>
    </row>
    <row r="71" spans="1:8" ht="27.75" customHeight="1">
      <c r="A71" s="50"/>
      <c r="B71" s="261" t="s">
        <v>168</v>
      </c>
      <c r="C71" s="16"/>
      <c r="D71" s="18">
        <v>3.7</v>
      </c>
      <c r="E71" s="18">
        <v>2</v>
      </c>
      <c r="F71" s="18"/>
      <c r="G71" s="15">
        <f t="shared" si="7"/>
        <v>-2</v>
      </c>
      <c r="H71" s="41">
        <f t="shared" si="8"/>
        <v>0</v>
      </c>
    </row>
    <row r="72" spans="1:8" ht="27.75" customHeight="1">
      <c r="A72" s="50"/>
      <c r="B72" s="262" t="s">
        <v>169</v>
      </c>
      <c r="C72" s="16"/>
      <c r="D72" s="18">
        <v>17.2</v>
      </c>
      <c r="E72" s="18">
        <v>11</v>
      </c>
      <c r="F72" s="18">
        <v>0.3</v>
      </c>
      <c r="G72" s="15">
        <f t="shared" si="7"/>
        <v>-10.7</v>
      </c>
      <c r="H72" s="41">
        <f t="shared" si="8"/>
        <v>2.7272727272727271</v>
      </c>
    </row>
    <row r="73" spans="1:8" ht="27.75" customHeight="1">
      <c r="A73" s="50"/>
      <c r="B73" s="261" t="s">
        <v>294</v>
      </c>
      <c r="C73" s="45"/>
      <c r="D73" s="18">
        <v>5.6</v>
      </c>
      <c r="E73" s="18"/>
      <c r="F73" s="263"/>
      <c r="G73" s="15">
        <f t="shared" si="7"/>
        <v>0</v>
      </c>
      <c r="H73" s="187" t="e">
        <f t="shared" si="8"/>
        <v>#DIV/0!</v>
      </c>
    </row>
    <row r="74" spans="1:8" ht="27.75" customHeight="1">
      <c r="A74" s="50"/>
      <c r="B74" s="262" t="s">
        <v>337</v>
      </c>
      <c r="C74" s="45"/>
      <c r="D74" s="40"/>
      <c r="E74" s="18">
        <v>8</v>
      </c>
      <c r="F74" s="18"/>
      <c r="G74" s="15">
        <f t="shared" si="7"/>
        <v>-8</v>
      </c>
      <c r="H74" s="41">
        <f t="shared" si="8"/>
        <v>0</v>
      </c>
    </row>
    <row r="75" spans="1:8" ht="27.75" customHeight="1">
      <c r="A75" s="50" t="s">
        <v>410</v>
      </c>
      <c r="B75" s="57" t="s">
        <v>92</v>
      </c>
      <c r="C75" s="58">
        <v>1020</v>
      </c>
      <c r="D75" s="40">
        <f>D76</f>
        <v>107.6</v>
      </c>
      <c r="E75" s="40">
        <f t="shared" ref="E75:F75" si="17">E76</f>
        <v>220.2</v>
      </c>
      <c r="F75" s="40">
        <f t="shared" si="17"/>
        <v>24.999999999999996</v>
      </c>
      <c r="G75" s="41">
        <f t="shared" si="7"/>
        <v>-195.2</v>
      </c>
      <c r="H75" s="41">
        <f t="shared" si="8"/>
        <v>11.353315168029063</v>
      </c>
    </row>
    <row r="76" spans="1:8" ht="27.75" customHeight="1">
      <c r="A76" s="37" t="s">
        <v>411</v>
      </c>
      <c r="B76" s="56" t="s">
        <v>172</v>
      </c>
      <c r="C76" s="39">
        <v>1025</v>
      </c>
      <c r="D76" s="40">
        <f>SUM(D77:D86)</f>
        <v>107.6</v>
      </c>
      <c r="E76" s="40">
        <f>SUM(E77:E86)</f>
        <v>220.2</v>
      </c>
      <c r="F76" s="40">
        <f>SUM(F77:F86)</f>
        <v>24.999999999999996</v>
      </c>
      <c r="G76" s="41">
        <f t="shared" ref="G76:G155" si="18">F76-E76</f>
        <v>-195.2</v>
      </c>
      <c r="H76" s="41">
        <f t="shared" ref="H76:H155" si="19">(F76/E76)*100</f>
        <v>11.353315168029063</v>
      </c>
    </row>
    <row r="77" spans="1:8" ht="27.75" customHeight="1">
      <c r="A77" s="50"/>
      <c r="B77" s="264" t="s">
        <v>151</v>
      </c>
      <c r="C77" s="43"/>
      <c r="D77" s="18">
        <v>47.1</v>
      </c>
      <c r="E77" s="18">
        <v>50</v>
      </c>
      <c r="F77" s="18">
        <f>54.8-53</f>
        <v>1.7999999999999972</v>
      </c>
      <c r="G77" s="15">
        <f t="shared" si="18"/>
        <v>-48.2</v>
      </c>
      <c r="H77" s="15">
        <f t="shared" si="19"/>
        <v>3.5999999999999943</v>
      </c>
    </row>
    <row r="78" spans="1:8" ht="27.75" customHeight="1">
      <c r="A78" s="50"/>
      <c r="B78" s="21" t="s">
        <v>163</v>
      </c>
      <c r="C78" s="43"/>
      <c r="D78" s="18"/>
      <c r="E78" s="18">
        <v>20</v>
      </c>
      <c r="F78" s="18"/>
      <c r="G78" s="15">
        <f t="shared" si="18"/>
        <v>-20</v>
      </c>
      <c r="H78" s="15">
        <f t="shared" si="19"/>
        <v>0</v>
      </c>
    </row>
    <row r="79" spans="1:8" ht="27.75" customHeight="1">
      <c r="A79" s="50"/>
      <c r="B79" s="21" t="s">
        <v>156</v>
      </c>
      <c r="C79" s="43"/>
      <c r="D79" s="18">
        <v>3.3</v>
      </c>
      <c r="E79" s="18">
        <v>13</v>
      </c>
      <c r="F79" s="18">
        <v>3.3</v>
      </c>
      <c r="G79" s="15">
        <f t="shared" si="18"/>
        <v>-9.6999999999999993</v>
      </c>
      <c r="H79" s="15">
        <f t="shared" si="19"/>
        <v>25.384615384615383</v>
      </c>
    </row>
    <row r="80" spans="1:8" ht="27.75" customHeight="1">
      <c r="A80" s="50"/>
      <c r="B80" s="17" t="s">
        <v>165</v>
      </c>
      <c r="C80" s="43"/>
      <c r="D80" s="18">
        <v>7.4</v>
      </c>
      <c r="E80" s="18">
        <v>100</v>
      </c>
      <c r="F80" s="18">
        <f>19.7+8.7-27</f>
        <v>1.3999999999999986</v>
      </c>
      <c r="G80" s="15">
        <f t="shared" si="18"/>
        <v>-98.6</v>
      </c>
      <c r="H80" s="15">
        <f t="shared" si="19"/>
        <v>1.3999999999999986</v>
      </c>
    </row>
    <row r="81" spans="1:11" ht="27.75" customHeight="1">
      <c r="A81" s="50"/>
      <c r="B81" s="17" t="s">
        <v>243</v>
      </c>
      <c r="C81" s="43"/>
      <c r="D81" s="18"/>
      <c r="E81" s="18">
        <v>36</v>
      </c>
      <c r="F81" s="18">
        <f>61.5-55</f>
        <v>6.5</v>
      </c>
      <c r="G81" s="15">
        <f t="shared" si="18"/>
        <v>-29.5</v>
      </c>
      <c r="H81" s="15">
        <f t="shared" si="19"/>
        <v>18.055555555555554</v>
      </c>
    </row>
    <row r="82" spans="1:11" ht="27.75" customHeight="1">
      <c r="A82" s="50"/>
      <c r="B82" s="21" t="s">
        <v>225</v>
      </c>
      <c r="C82" s="43"/>
      <c r="D82" s="18">
        <v>4.4000000000000004</v>
      </c>
      <c r="E82" s="18"/>
      <c r="F82" s="18">
        <f>5+2</f>
        <v>7</v>
      </c>
      <c r="G82" s="15">
        <f t="shared" si="18"/>
        <v>7</v>
      </c>
      <c r="H82" s="53" t="e">
        <f t="shared" si="19"/>
        <v>#DIV/0!</v>
      </c>
    </row>
    <row r="83" spans="1:11" ht="27.75" customHeight="1">
      <c r="A83" s="50"/>
      <c r="B83" s="21" t="s">
        <v>292</v>
      </c>
      <c r="C83" s="43"/>
      <c r="D83" s="18">
        <v>39.799999999999997</v>
      </c>
      <c r="E83" s="18"/>
      <c r="F83" s="18"/>
      <c r="G83" s="15">
        <f t="shared" si="18"/>
        <v>0</v>
      </c>
      <c r="H83" s="53" t="e">
        <f t="shared" si="19"/>
        <v>#DIV/0!</v>
      </c>
    </row>
    <row r="84" spans="1:11" ht="27.75" customHeight="1">
      <c r="A84" s="50"/>
      <c r="B84" s="21" t="s">
        <v>248</v>
      </c>
      <c r="C84" s="43"/>
      <c r="D84" s="18">
        <v>3.6</v>
      </c>
      <c r="E84" s="18"/>
      <c r="F84" s="18">
        <f>8.4-6.2</f>
        <v>2.2000000000000002</v>
      </c>
      <c r="G84" s="15">
        <f t="shared" si="18"/>
        <v>2.2000000000000002</v>
      </c>
      <c r="H84" s="53" t="e">
        <f t="shared" si="19"/>
        <v>#DIV/0!</v>
      </c>
    </row>
    <row r="85" spans="1:11" ht="27.75" customHeight="1">
      <c r="A85" s="50"/>
      <c r="B85" s="21" t="s">
        <v>208</v>
      </c>
      <c r="C85" s="43"/>
      <c r="D85" s="18">
        <v>1.1000000000000001</v>
      </c>
      <c r="E85" s="18"/>
      <c r="F85" s="18">
        <f>9.2+2+9.2-18.9</f>
        <v>1.5</v>
      </c>
      <c r="G85" s="15">
        <f t="shared" si="18"/>
        <v>1.5</v>
      </c>
      <c r="H85" s="53" t="e">
        <f t="shared" si="19"/>
        <v>#DIV/0!</v>
      </c>
    </row>
    <row r="86" spans="1:11" ht="27.75" customHeight="1">
      <c r="A86" s="50"/>
      <c r="B86" s="21" t="s">
        <v>224</v>
      </c>
      <c r="C86" s="43"/>
      <c r="D86" s="18">
        <v>0.9</v>
      </c>
      <c r="E86" s="18">
        <v>1.2</v>
      </c>
      <c r="F86" s="18">
        <v>1.3</v>
      </c>
      <c r="G86" s="15">
        <f t="shared" si="18"/>
        <v>0.10000000000000009</v>
      </c>
      <c r="H86" s="15">
        <f t="shared" si="19"/>
        <v>108.33333333333334</v>
      </c>
    </row>
    <row r="87" spans="1:11" ht="27.75" customHeight="1">
      <c r="A87" s="50" t="s">
        <v>408</v>
      </c>
      <c r="B87" s="59" t="s">
        <v>93</v>
      </c>
      <c r="C87" s="58">
        <v>1030</v>
      </c>
      <c r="D87" s="40">
        <f>D88</f>
        <v>0.6</v>
      </c>
      <c r="E87" s="40">
        <f>E88</f>
        <v>94.9</v>
      </c>
      <c r="F87" s="40">
        <f>F88</f>
        <v>33.299999999999997</v>
      </c>
      <c r="G87" s="41">
        <f t="shared" si="18"/>
        <v>-61.600000000000009</v>
      </c>
      <c r="H87" s="41">
        <f t="shared" si="19"/>
        <v>35.089567966280285</v>
      </c>
    </row>
    <row r="88" spans="1:11" ht="27.75" customHeight="1">
      <c r="A88" s="37" t="s">
        <v>409</v>
      </c>
      <c r="B88" s="73" t="s">
        <v>93</v>
      </c>
      <c r="C88" s="45">
        <v>1035</v>
      </c>
      <c r="D88" s="40">
        <f>SUM(D89:D91)</f>
        <v>0.6</v>
      </c>
      <c r="E88" s="40">
        <f>SUM(E89:E91)</f>
        <v>94.9</v>
      </c>
      <c r="F88" s="40">
        <f>SUM(F89:F91)</f>
        <v>33.299999999999997</v>
      </c>
      <c r="G88" s="41">
        <f t="shared" si="18"/>
        <v>-61.600000000000009</v>
      </c>
      <c r="H88" s="41">
        <f t="shared" si="19"/>
        <v>35.089567966280285</v>
      </c>
    </row>
    <row r="89" spans="1:11" ht="27.75" customHeight="1">
      <c r="A89" s="47"/>
      <c r="B89" s="265" t="s">
        <v>242</v>
      </c>
      <c r="C89" s="16"/>
      <c r="D89" s="18">
        <v>0.6</v>
      </c>
      <c r="E89" s="18">
        <v>49.9</v>
      </c>
      <c r="F89" s="18">
        <v>33.299999999999997</v>
      </c>
      <c r="G89" s="15">
        <f t="shared" si="18"/>
        <v>-16.600000000000001</v>
      </c>
      <c r="H89" s="15">
        <f t="shared" si="19"/>
        <v>66.733466933867732</v>
      </c>
      <c r="K89" s="2"/>
    </row>
    <row r="90" spans="1:11" ht="27.75" customHeight="1">
      <c r="A90" s="50"/>
      <c r="B90" s="61" t="s">
        <v>175</v>
      </c>
      <c r="C90" s="43"/>
      <c r="D90" s="40"/>
      <c r="E90" s="18">
        <v>35</v>
      </c>
      <c r="F90" s="18"/>
      <c r="G90" s="15">
        <f t="shared" si="18"/>
        <v>-35</v>
      </c>
      <c r="H90" s="41">
        <f t="shared" si="19"/>
        <v>0</v>
      </c>
    </row>
    <row r="91" spans="1:11" ht="27.75" customHeight="1">
      <c r="A91" s="50"/>
      <c r="B91" s="61" t="s">
        <v>226</v>
      </c>
      <c r="C91" s="43"/>
      <c r="D91" s="40"/>
      <c r="E91" s="18">
        <v>10</v>
      </c>
      <c r="F91" s="18"/>
      <c r="G91" s="15">
        <f t="shared" ref="G91:G111" si="20">F91-E91</f>
        <v>-10</v>
      </c>
      <c r="H91" s="41">
        <f t="shared" ref="H91:H111" si="21">(F91/E91)*100</f>
        <v>0</v>
      </c>
    </row>
    <row r="92" spans="1:11" ht="27.75" customHeight="1">
      <c r="A92" s="50" t="s">
        <v>104</v>
      </c>
      <c r="B92" s="54" t="s">
        <v>412</v>
      </c>
      <c r="C92" s="43"/>
      <c r="D92" s="14">
        <f t="shared" ref="D92:E92" si="22">D94+D105</f>
        <v>0</v>
      </c>
      <c r="E92" s="14">
        <f t="shared" si="22"/>
        <v>0</v>
      </c>
      <c r="F92" s="14">
        <f>F94+F105</f>
        <v>816.5</v>
      </c>
      <c r="G92" s="15">
        <f t="shared" si="20"/>
        <v>816.5</v>
      </c>
      <c r="H92" s="187" t="e">
        <f t="shared" si="21"/>
        <v>#DIV/0!</v>
      </c>
    </row>
    <row r="93" spans="1:11" ht="27.75" customHeight="1">
      <c r="A93" s="50"/>
      <c r="B93" s="61" t="s">
        <v>86</v>
      </c>
      <c r="C93" s="43"/>
      <c r="D93" s="40"/>
      <c r="E93" s="18"/>
      <c r="F93" s="18"/>
      <c r="G93" s="15"/>
      <c r="H93" s="187"/>
    </row>
    <row r="94" spans="1:11" ht="27.75" customHeight="1">
      <c r="A94" s="50" t="s">
        <v>220</v>
      </c>
      <c r="B94" s="54" t="s">
        <v>90</v>
      </c>
      <c r="C94" s="52">
        <v>1010</v>
      </c>
      <c r="D94" s="14">
        <f t="shared" ref="D94:E94" si="23">D95+D98</f>
        <v>0</v>
      </c>
      <c r="E94" s="14">
        <f t="shared" si="23"/>
        <v>0</v>
      </c>
      <c r="F94" s="14">
        <f>F95+F98</f>
        <v>656.4</v>
      </c>
      <c r="G94" s="15">
        <f t="shared" si="20"/>
        <v>656.4</v>
      </c>
      <c r="H94" s="187" t="e">
        <f t="shared" si="21"/>
        <v>#DIV/0!</v>
      </c>
    </row>
    <row r="95" spans="1:11" ht="27.75" customHeight="1">
      <c r="A95" s="37" t="s">
        <v>295</v>
      </c>
      <c r="B95" s="38" t="s">
        <v>106</v>
      </c>
      <c r="C95" s="45">
        <v>1011</v>
      </c>
      <c r="D95" s="40">
        <f t="shared" ref="D95:E95" si="24">SUM(D96:D97)</f>
        <v>0</v>
      </c>
      <c r="E95" s="40">
        <f t="shared" si="24"/>
        <v>0</v>
      </c>
      <c r="F95" s="40">
        <f>SUM(F96:F97)</f>
        <v>306.2</v>
      </c>
      <c r="G95" s="15">
        <f t="shared" si="20"/>
        <v>306.2</v>
      </c>
      <c r="H95" s="187" t="e">
        <f t="shared" si="21"/>
        <v>#DIV/0!</v>
      </c>
    </row>
    <row r="96" spans="1:11" ht="39" customHeight="1">
      <c r="A96" s="37"/>
      <c r="B96" s="17" t="s">
        <v>159</v>
      </c>
      <c r="C96" s="45"/>
      <c r="D96" s="40"/>
      <c r="E96" s="18"/>
      <c r="F96" s="18">
        <v>237</v>
      </c>
      <c r="G96" s="15">
        <f t="shared" si="20"/>
        <v>237</v>
      </c>
      <c r="H96" s="187" t="e">
        <f t="shared" si="21"/>
        <v>#DIV/0!</v>
      </c>
    </row>
    <row r="97" spans="1:10" ht="27.75" customHeight="1">
      <c r="A97" s="37"/>
      <c r="B97" s="259" t="s">
        <v>160</v>
      </c>
      <c r="C97" s="45"/>
      <c r="D97" s="40"/>
      <c r="E97" s="18"/>
      <c r="F97" s="18">
        <v>69.2</v>
      </c>
      <c r="G97" s="15">
        <f t="shared" si="20"/>
        <v>69.2</v>
      </c>
      <c r="H97" s="187" t="e">
        <f t="shared" si="21"/>
        <v>#DIV/0!</v>
      </c>
    </row>
    <row r="98" spans="1:10" ht="27.75" customHeight="1">
      <c r="A98" s="37" t="s">
        <v>296</v>
      </c>
      <c r="B98" s="56" t="s">
        <v>97</v>
      </c>
      <c r="C98" s="45">
        <v>1015</v>
      </c>
      <c r="D98" s="40">
        <f t="shared" ref="D98:E98" si="25">SUM(D99:D104)</f>
        <v>0</v>
      </c>
      <c r="E98" s="40">
        <f t="shared" si="25"/>
        <v>0</v>
      </c>
      <c r="F98" s="40">
        <f>SUM(F99:F104)</f>
        <v>350.2</v>
      </c>
      <c r="G98" s="15">
        <f t="shared" si="20"/>
        <v>350.2</v>
      </c>
      <c r="H98" s="187" t="e">
        <f t="shared" si="21"/>
        <v>#DIV/0!</v>
      </c>
    </row>
    <row r="99" spans="1:10" ht="27.75" customHeight="1">
      <c r="A99" s="37"/>
      <c r="B99" s="21" t="s">
        <v>162</v>
      </c>
      <c r="C99" s="45"/>
      <c r="D99" s="40"/>
      <c r="E99" s="18"/>
      <c r="F99" s="18">
        <v>55</v>
      </c>
      <c r="G99" s="15">
        <f t="shared" si="20"/>
        <v>55</v>
      </c>
      <c r="H99" s="187" t="e">
        <f t="shared" si="21"/>
        <v>#DIV/0!</v>
      </c>
    </row>
    <row r="100" spans="1:10" ht="27.75" customHeight="1">
      <c r="A100" s="37"/>
      <c r="B100" s="21" t="s">
        <v>150</v>
      </c>
      <c r="C100" s="45"/>
      <c r="D100" s="40"/>
      <c r="E100" s="18"/>
      <c r="F100" s="18">
        <v>12</v>
      </c>
      <c r="G100" s="15">
        <f t="shared" si="20"/>
        <v>12</v>
      </c>
      <c r="H100" s="187" t="e">
        <f t="shared" si="21"/>
        <v>#DIV/0!</v>
      </c>
    </row>
    <row r="101" spans="1:10" ht="27.75" customHeight="1">
      <c r="A101" s="37"/>
      <c r="B101" s="21" t="s">
        <v>163</v>
      </c>
      <c r="C101" s="45"/>
      <c r="D101" s="40"/>
      <c r="E101" s="18"/>
      <c r="F101" s="18">
        <v>12</v>
      </c>
      <c r="G101" s="15">
        <f t="shared" si="20"/>
        <v>12</v>
      </c>
      <c r="H101" s="187" t="e">
        <f t="shared" si="21"/>
        <v>#DIV/0!</v>
      </c>
    </row>
    <row r="102" spans="1:10" ht="27.75" customHeight="1">
      <c r="A102" s="37"/>
      <c r="B102" s="21" t="s">
        <v>207</v>
      </c>
      <c r="C102" s="45"/>
      <c r="D102" s="40"/>
      <c r="E102" s="18"/>
      <c r="F102" s="18">
        <v>5.2</v>
      </c>
      <c r="G102" s="15">
        <f t="shared" si="20"/>
        <v>5.2</v>
      </c>
      <c r="H102" s="187" t="e">
        <f t="shared" si="21"/>
        <v>#DIV/0!</v>
      </c>
    </row>
    <row r="103" spans="1:10" ht="27.75" customHeight="1">
      <c r="A103" s="37"/>
      <c r="B103" s="260" t="s">
        <v>223</v>
      </c>
      <c r="C103" s="45"/>
      <c r="D103" s="40"/>
      <c r="E103" s="18"/>
      <c r="F103" s="18">
        <v>191</v>
      </c>
      <c r="G103" s="15">
        <f t="shared" si="20"/>
        <v>191</v>
      </c>
      <c r="H103" s="187" t="e">
        <f t="shared" si="21"/>
        <v>#DIV/0!</v>
      </c>
    </row>
    <row r="104" spans="1:10" ht="42.75" customHeight="1">
      <c r="A104" s="37"/>
      <c r="B104" s="17" t="s">
        <v>336</v>
      </c>
      <c r="C104" s="45"/>
      <c r="D104" s="40"/>
      <c r="E104" s="18"/>
      <c r="F104" s="18">
        <v>75</v>
      </c>
      <c r="G104" s="15">
        <f t="shared" si="20"/>
        <v>75</v>
      </c>
      <c r="H104" s="187" t="e">
        <f t="shared" si="21"/>
        <v>#DIV/0!</v>
      </c>
    </row>
    <row r="105" spans="1:10" ht="27.75" customHeight="1">
      <c r="A105" s="50" t="s">
        <v>297</v>
      </c>
      <c r="B105" s="57" t="s">
        <v>92</v>
      </c>
      <c r="C105" s="58">
        <v>1020</v>
      </c>
      <c r="D105" s="14">
        <f t="shared" ref="D105:E105" si="26">D106</f>
        <v>0</v>
      </c>
      <c r="E105" s="14">
        <f t="shared" si="26"/>
        <v>0</v>
      </c>
      <c r="F105" s="14">
        <f>F106</f>
        <v>160.1</v>
      </c>
      <c r="G105" s="15">
        <f t="shared" si="20"/>
        <v>160.1</v>
      </c>
      <c r="H105" s="187" t="e">
        <f t="shared" si="21"/>
        <v>#DIV/0!</v>
      </c>
    </row>
    <row r="106" spans="1:10" ht="27.75" customHeight="1">
      <c r="A106" s="37" t="s">
        <v>298</v>
      </c>
      <c r="B106" s="56" t="s">
        <v>172</v>
      </c>
      <c r="C106" s="39">
        <v>1025</v>
      </c>
      <c r="D106" s="40">
        <f t="shared" ref="D106:E106" si="27">SUM(D107:D111)</f>
        <v>0</v>
      </c>
      <c r="E106" s="40">
        <f t="shared" si="27"/>
        <v>0</v>
      </c>
      <c r="F106" s="40">
        <f>SUM(F107:F111)</f>
        <v>160.1</v>
      </c>
      <c r="G106" s="15">
        <f t="shared" si="20"/>
        <v>160.1</v>
      </c>
      <c r="H106" s="187" t="e">
        <f t="shared" si="21"/>
        <v>#DIV/0!</v>
      </c>
    </row>
    <row r="107" spans="1:10" ht="27.75" customHeight="1">
      <c r="A107" s="50"/>
      <c r="B107" s="264" t="s">
        <v>151</v>
      </c>
      <c r="C107" s="43"/>
      <c r="D107" s="40"/>
      <c r="E107" s="18"/>
      <c r="F107" s="18">
        <v>53</v>
      </c>
      <c r="G107" s="15">
        <f t="shared" si="20"/>
        <v>53</v>
      </c>
      <c r="H107" s="187" t="e">
        <f t="shared" si="21"/>
        <v>#DIV/0!</v>
      </c>
    </row>
    <row r="108" spans="1:10" ht="27.75" customHeight="1">
      <c r="A108" s="50"/>
      <c r="B108" s="17" t="s">
        <v>165</v>
      </c>
      <c r="C108" s="43"/>
      <c r="D108" s="40"/>
      <c r="E108" s="18"/>
      <c r="F108" s="18">
        <v>27</v>
      </c>
      <c r="G108" s="15">
        <f t="shared" si="20"/>
        <v>27</v>
      </c>
      <c r="H108" s="187" t="e">
        <f t="shared" si="21"/>
        <v>#DIV/0!</v>
      </c>
    </row>
    <row r="109" spans="1:10" ht="27.75" customHeight="1">
      <c r="A109" s="50"/>
      <c r="B109" s="17" t="s">
        <v>243</v>
      </c>
      <c r="C109" s="43"/>
      <c r="D109" s="40"/>
      <c r="E109" s="18"/>
      <c r="F109" s="18">
        <v>55</v>
      </c>
      <c r="G109" s="15">
        <f t="shared" si="20"/>
        <v>55</v>
      </c>
      <c r="H109" s="187" t="e">
        <f t="shared" si="21"/>
        <v>#DIV/0!</v>
      </c>
    </row>
    <row r="110" spans="1:10" ht="27.75" customHeight="1">
      <c r="A110" s="50"/>
      <c r="B110" s="21" t="s">
        <v>248</v>
      </c>
      <c r="C110" s="43"/>
      <c r="D110" s="40"/>
      <c r="E110" s="18"/>
      <c r="F110" s="18">
        <v>6.2</v>
      </c>
      <c r="G110" s="15">
        <f t="shared" si="20"/>
        <v>6.2</v>
      </c>
      <c r="H110" s="187" t="e">
        <f t="shared" si="21"/>
        <v>#DIV/0!</v>
      </c>
    </row>
    <row r="111" spans="1:10" ht="27.75" customHeight="1">
      <c r="A111" s="50"/>
      <c r="B111" s="21" t="s">
        <v>208</v>
      </c>
      <c r="C111" s="43"/>
      <c r="D111" s="40"/>
      <c r="E111" s="18"/>
      <c r="F111" s="18">
        <v>18.899999999999999</v>
      </c>
      <c r="G111" s="15">
        <f t="shared" si="20"/>
        <v>18.899999999999999</v>
      </c>
      <c r="H111" s="187" t="e">
        <f t="shared" si="21"/>
        <v>#DIV/0!</v>
      </c>
    </row>
    <row r="112" spans="1:10" ht="32.25" customHeight="1">
      <c r="A112" s="50" t="s">
        <v>105</v>
      </c>
      <c r="B112" s="54" t="s">
        <v>206</v>
      </c>
      <c r="C112" s="58"/>
      <c r="D112" s="14">
        <f>D114+D124</f>
        <v>4801.7</v>
      </c>
      <c r="E112" s="14">
        <f>E114+E124</f>
        <v>5176.0999999999995</v>
      </c>
      <c r="F112" s="14">
        <f>F114+F124</f>
        <v>5176.2</v>
      </c>
      <c r="G112" s="19">
        <f t="shared" si="18"/>
        <v>0.1000000000003638</v>
      </c>
      <c r="H112" s="19">
        <f t="shared" si="19"/>
        <v>100.00193195649234</v>
      </c>
      <c r="I112" s="20"/>
      <c r="J112" s="25"/>
    </row>
    <row r="113" spans="1:15" ht="27" customHeight="1">
      <c r="A113" s="50"/>
      <c r="B113" s="60" t="s">
        <v>86</v>
      </c>
      <c r="C113" s="43"/>
      <c r="D113" s="18"/>
      <c r="E113" s="18"/>
      <c r="F113" s="18"/>
      <c r="G113" s="19"/>
      <c r="H113" s="19"/>
      <c r="I113" s="20"/>
      <c r="K113" s="25"/>
    </row>
    <row r="114" spans="1:15" s="5" customFormat="1" ht="24.75" customHeight="1">
      <c r="A114" s="50" t="s">
        <v>229</v>
      </c>
      <c r="B114" s="54" t="s">
        <v>90</v>
      </c>
      <c r="C114" s="58">
        <v>1010</v>
      </c>
      <c r="D114" s="14">
        <f>D115+D118</f>
        <v>4741.8</v>
      </c>
      <c r="E114" s="14">
        <f>E115+E118</f>
        <v>5065.0999999999995</v>
      </c>
      <c r="F114" s="14">
        <f>F115+F118</f>
        <v>5091.8999999999996</v>
      </c>
      <c r="G114" s="19">
        <f t="shared" si="18"/>
        <v>26.800000000000182</v>
      </c>
      <c r="H114" s="19">
        <f t="shared" si="19"/>
        <v>100.52911097510415</v>
      </c>
      <c r="I114" s="83"/>
      <c r="J114" s="85"/>
      <c r="O114" s="77"/>
    </row>
    <row r="115" spans="1:15" s="5" customFormat="1" ht="24.75" customHeight="1">
      <c r="A115" s="37" t="s">
        <v>299</v>
      </c>
      <c r="B115" s="56" t="s">
        <v>106</v>
      </c>
      <c r="C115" s="39">
        <v>1011</v>
      </c>
      <c r="D115" s="40">
        <f>SUM(D116:D117)</f>
        <v>1071.0999999999999</v>
      </c>
      <c r="E115" s="40">
        <f>SUM(E116:E117)</f>
        <v>0</v>
      </c>
      <c r="F115" s="40">
        <f>SUM(F116:F117)</f>
        <v>0</v>
      </c>
      <c r="G115" s="41">
        <f t="shared" si="18"/>
        <v>0</v>
      </c>
      <c r="H115" s="187" t="e">
        <f t="shared" si="19"/>
        <v>#DIV/0!</v>
      </c>
      <c r="J115" s="85"/>
      <c r="O115" s="77"/>
    </row>
    <row r="116" spans="1:15" ht="24.75" customHeight="1">
      <c r="A116" s="47"/>
      <c r="B116" s="17" t="s">
        <v>201</v>
      </c>
      <c r="C116" s="43"/>
      <c r="D116" s="18">
        <v>1069.5999999999999</v>
      </c>
      <c r="E116" s="18"/>
      <c r="F116" s="18"/>
      <c r="G116" s="15">
        <f t="shared" si="18"/>
        <v>0</v>
      </c>
      <c r="H116" s="53" t="e">
        <f t="shared" si="19"/>
        <v>#DIV/0!</v>
      </c>
      <c r="I116" s="51"/>
    </row>
    <row r="117" spans="1:15" ht="24.75" customHeight="1">
      <c r="A117" s="47"/>
      <c r="B117" s="17" t="s">
        <v>221</v>
      </c>
      <c r="C117" s="43"/>
      <c r="D117" s="18">
        <v>1.5</v>
      </c>
      <c r="E117" s="18"/>
      <c r="F117" s="18"/>
      <c r="G117" s="15">
        <f t="shared" si="18"/>
        <v>0</v>
      </c>
      <c r="H117" s="53" t="e">
        <f t="shared" si="19"/>
        <v>#DIV/0!</v>
      </c>
      <c r="I117" s="51"/>
    </row>
    <row r="118" spans="1:15" s="5" customFormat="1" ht="24.75" customHeight="1">
      <c r="A118" s="37" t="s">
        <v>230</v>
      </c>
      <c r="B118" s="63" t="s">
        <v>97</v>
      </c>
      <c r="C118" s="64">
        <v>1015</v>
      </c>
      <c r="D118" s="40">
        <f>SUM(D119:D123)</f>
        <v>3670.7000000000003</v>
      </c>
      <c r="E118" s="40">
        <f>SUM(E119:E123)</f>
        <v>5065.0999999999995</v>
      </c>
      <c r="F118" s="40">
        <f>SUM(F119:F123)</f>
        <v>5091.8999999999996</v>
      </c>
      <c r="G118" s="41">
        <f t="shared" si="18"/>
        <v>26.800000000000182</v>
      </c>
      <c r="H118" s="41">
        <f t="shared" si="19"/>
        <v>100.52911097510415</v>
      </c>
      <c r="I118" s="172"/>
      <c r="J118" s="85"/>
      <c r="O118" s="77"/>
    </row>
    <row r="119" spans="1:15" ht="24.75" customHeight="1">
      <c r="A119" s="47"/>
      <c r="B119" s="254" t="s">
        <v>338</v>
      </c>
      <c r="C119" s="12"/>
      <c r="D119" s="18"/>
      <c r="E119" s="18">
        <v>124.6</v>
      </c>
      <c r="F119" s="18">
        <v>124.6</v>
      </c>
      <c r="G119" s="15">
        <f t="shared" si="18"/>
        <v>0</v>
      </c>
      <c r="H119" s="15">
        <f t="shared" si="19"/>
        <v>100</v>
      </c>
      <c r="J119" s="167"/>
      <c r="K119" s="2"/>
    </row>
    <row r="120" spans="1:15" ht="24.75" customHeight="1">
      <c r="A120" s="50"/>
      <c r="B120" s="254" t="s">
        <v>167</v>
      </c>
      <c r="C120" s="254"/>
      <c r="D120" s="18">
        <v>3011</v>
      </c>
      <c r="E120" s="18">
        <v>3539.1</v>
      </c>
      <c r="F120" s="18">
        <v>3667.4</v>
      </c>
      <c r="G120" s="15">
        <f t="shared" si="18"/>
        <v>128.30000000000018</v>
      </c>
      <c r="H120" s="15">
        <f t="shared" si="19"/>
        <v>103.62521545025571</v>
      </c>
    </row>
    <row r="121" spans="1:15" ht="24.75" customHeight="1">
      <c r="A121" s="50"/>
      <c r="B121" s="254" t="s">
        <v>168</v>
      </c>
      <c r="C121" s="254"/>
      <c r="D121" s="18">
        <v>173.8</v>
      </c>
      <c r="E121" s="18">
        <v>197.2</v>
      </c>
      <c r="F121" s="18">
        <v>197.2</v>
      </c>
      <c r="G121" s="15">
        <f t="shared" si="18"/>
        <v>0</v>
      </c>
      <c r="H121" s="15">
        <f t="shared" si="19"/>
        <v>100</v>
      </c>
    </row>
    <row r="122" spans="1:15" ht="24.75" customHeight="1">
      <c r="A122" s="50"/>
      <c r="B122" s="254" t="s">
        <v>177</v>
      </c>
      <c r="C122" s="254"/>
      <c r="D122" s="18">
        <v>414.3</v>
      </c>
      <c r="E122" s="18">
        <v>1096.3</v>
      </c>
      <c r="F122" s="18">
        <v>993.4</v>
      </c>
      <c r="G122" s="15">
        <f t="shared" si="18"/>
        <v>-102.89999999999998</v>
      </c>
      <c r="H122" s="15">
        <f t="shared" si="19"/>
        <v>90.613883061205883</v>
      </c>
    </row>
    <row r="123" spans="1:15" ht="24.75" customHeight="1">
      <c r="A123" s="50"/>
      <c r="B123" s="254" t="s">
        <v>170</v>
      </c>
      <c r="C123" s="254"/>
      <c r="D123" s="18">
        <v>71.599999999999994</v>
      </c>
      <c r="E123" s="18">
        <v>107.9</v>
      </c>
      <c r="F123" s="18">
        <v>109.3</v>
      </c>
      <c r="G123" s="15">
        <f t="shared" si="18"/>
        <v>1.3999999999999915</v>
      </c>
      <c r="H123" s="15">
        <f t="shared" si="19"/>
        <v>101.29749768303984</v>
      </c>
    </row>
    <row r="124" spans="1:15" ht="24.75" customHeight="1">
      <c r="A124" s="50" t="s">
        <v>231</v>
      </c>
      <c r="B124" s="57" t="s">
        <v>92</v>
      </c>
      <c r="C124" s="58">
        <v>1020</v>
      </c>
      <c r="D124" s="14">
        <f>D125</f>
        <v>59.900000000000006</v>
      </c>
      <c r="E124" s="14">
        <f>E125</f>
        <v>111</v>
      </c>
      <c r="F124" s="14">
        <f>F125</f>
        <v>84.3</v>
      </c>
      <c r="G124" s="19">
        <f t="shared" si="18"/>
        <v>-26.700000000000003</v>
      </c>
      <c r="H124" s="19">
        <f t="shared" si="19"/>
        <v>75.945945945945951</v>
      </c>
      <c r="I124" s="80"/>
      <c r="K124" s="25"/>
    </row>
    <row r="125" spans="1:15" ht="24.75" customHeight="1">
      <c r="A125" s="37" t="s">
        <v>232</v>
      </c>
      <c r="B125" s="56" t="s">
        <v>172</v>
      </c>
      <c r="C125" s="39">
        <v>1025</v>
      </c>
      <c r="D125" s="40">
        <f>SUM(D126:D129)</f>
        <v>59.900000000000006</v>
      </c>
      <c r="E125" s="40">
        <f>SUM(E126:E129)</f>
        <v>111</v>
      </c>
      <c r="F125" s="40">
        <f>SUM(F126:F129)</f>
        <v>84.3</v>
      </c>
      <c r="G125" s="41">
        <f t="shared" si="18"/>
        <v>-26.700000000000003</v>
      </c>
      <c r="H125" s="41">
        <f t="shared" si="19"/>
        <v>75.945945945945951</v>
      </c>
    </row>
    <row r="126" spans="1:15" ht="24.75" customHeight="1">
      <c r="A126" s="69"/>
      <c r="B126" s="262" t="s">
        <v>167</v>
      </c>
      <c r="C126" s="43"/>
      <c r="D126" s="18">
        <v>46.9</v>
      </c>
      <c r="E126" s="18">
        <v>79.599999999999994</v>
      </c>
      <c r="F126" s="18">
        <v>56.6</v>
      </c>
      <c r="G126" s="15">
        <f t="shared" si="18"/>
        <v>-22.999999999999993</v>
      </c>
      <c r="H126" s="15">
        <f t="shared" si="19"/>
        <v>71.105527638190964</v>
      </c>
    </row>
    <row r="127" spans="1:15" ht="24.75" customHeight="1">
      <c r="A127" s="69"/>
      <c r="B127" s="262" t="s">
        <v>168</v>
      </c>
      <c r="C127" s="43"/>
      <c r="D127" s="18">
        <v>2.1</v>
      </c>
      <c r="E127" s="18">
        <v>4.4000000000000004</v>
      </c>
      <c r="F127" s="18">
        <v>4.4000000000000004</v>
      </c>
      <c r="G127" s="15">
        <f t="shared" si="18"/>
        <v>0</v>
      </c>
      <c r="H127" s="15">
        <f t="shared" si="19"/>
        <v>100</v>
      </c>
    </row>
    <row r="128" spans="1:15" ht="24.75" customHeight="1">
      <c r="A128" s="69"/>
      <c r="B128" s="262" t="s">
        <v>169</v>
      </c>
      <c r="C128" s="43"/>
      <c r="D128" s="18">
        <v>10.199999999999999</v>
      </c>
      <c r="E128" s="18">
        <v>24.6</v>
      </c>
      <c r="F128" s="18">
        <v>22.3</v>
      </c>
      <c r="G128" s="15">
        <f t="shared" si="18"/>
        <v>-2.3000000000000007</v>
      </c>
      <c r="H128" s="15">
        <f t="shared" si="19"/>
        <v>90.650406504065046</v>
      </c>
    </row>
    <row r="129" spans="1:12" ht="24.75" customHeight="1">
      <c r="A129" s="69"/>
      <c r="B129" s="262" t="s">
        <v>178</v>
      </c>
      <c r="C129" s="43"/>
      <c r="D129" s="18">
        <v>0.7</v>
      </c>
      <c r="E129" s="18">
        <v>2.4</v>
      </c>
      <c r="F129" s="18">
        <v>1</v>
      </c>
      <c r="G129" s="15">
        <f t="shared" si="18"/>
        <v>-1.4</v>
      </c>
      <c r="H129" s="15">
        <f t="shared" si="19"/>
        <v>41.666666666666671</v>
      </c>
    </row>
    <row r="130" spans="1:12" ht="30.75" customHeight="1">
      <c r="A130" s="36" t="s">
        <v>301</v>
      </c>
      <c r="B130" s="70" t="s">
        <v>213</v>
      </c>
      <c r="C130" s="58"/>
      <c r="D130" s="14">
        <f>D132</f>
        <v>759.2</v>
      </c>
      <c r="E130" s="14">
        <f>E132</f>
        <v>0</v>
      </c>
      <c r="F130" s="14">
        <f>F132</f>
        <v>2778.2</v>
      </c>
      <c r="G130" s="19">
        <f t="shared" si="18"/>
        <v>2778.2</v>
      </c>
      <c r="H130" s="188" t="e">
        <f t="shared" si="19"/>
        <v>#DIV/0!</v>
      </c>
    </row>
    <row r="131" spans="1:12" ht="24.75" customHeight="1">
      <c r="A131" s="69"/>
      <c r="B131" s="71" t="s">
        <v>86</v>
      </c>
      <c r="C131" s="43"/>
      <c r="D131" s="18"/>
      <c r="E131" s="18"/>
      <c r="F131" s="18"/>
      <c r="G131" s="15"/>
      <c r="H131" s="53"/>
    </row>
    <row r="132" spans="1:12" ht="27.75" customHeight="1">
      <c r="A132" s="36" t="s">
        <v>300</v>
      </c>
      <c r="B132" s="70" t="s">
        <v>90</v>
      </c>
      <c r="C132" s="58">
        <v>1010</v>
      </c>
      <c r="D132" s="14">
        <f>D133</f>
        <v>759.2</v>
      </c>
      <c r="E132" s="14"/>
      <c r="F132" s="14">
        <f>F133</f>
        <v>2778.2</v>
      </c>
      <c r="G132" s="19">
        <f t="shared" si="18"/>
        <v>2778.2</v>
      </c>
      <c r="H132" s="188" t="e">
        <f t="shared" si="19"/>
        <v>#DIV/0!</v>
      </c>
      <c r="I132" s="20"/>
    </row>
    <row r="133" spans="1:12" ht="27" customHeight="1">
      <c r="A133" s="66" t="s">
        <v>302</v>
      </c>
      <c r="B133" s="65" t="s">
        <v>106</v>
      </c>
      <c r="C133" s="39">
        <v>1011</v>
      </c>
      <c r="D133" s="40">
        <f t="shared" ref="D133:E133" si="28">SUM(D134:D136)</f>
        <v>759.2</v>
      </c>
      <c r="E133" s="40">
        <f t="shared" si="28"/>
        <v>0</v>
      </c>
      <c r="F133" s="40">
        <f>SUM(F134:F136)</f>
        <v>2778.2</v>
      </c>
      <c r="G133" s="41">
        <f t="shared" si="18"/>
        <v>2778.2</v>
      </c>
      <c r="H133" s="187" t="e">
        <f t="shared" si="19"/>
        <v>#DIV/0!</v>
      </c>
    </row>
    <row r="134" spans="1:12" ht="27" customHeight="1">
      <c r="A134" s="66"/>
      <c r="B134" s="17" t="s">
        <v>221</v>
      </c>
      <c r="C134" s="39"/>
      <c r="D134" s="40"/>
      <c r="E134" s="40"/>
      <c r="F134" s="18">
        <v>34.1</v>
      </c>
      <c r="G134" s="15">
        <f t="shared" si="18"/>
        <v>34.1</v>
      </c>
      <c r="H134" s="53" t="e">
        <f t="shared" si="19"/>
        <v>#DIV/0!</v>
      </c>
    </row>
    <row r="135" spans="1:12" ht="27" customHeight="1">
      <c r="A135" s="66"/>
      <c r="B135" s="21" t="s">
        <v>201</v>
      </c>
      <c r="C135" s="39"/>
      <c r="D135" s="18">
        <v>250.2</v>
      </c>
      <c r="E135" s="40"/>
      <c r="F135" s="18">
        <f>2681.6</f>
        <v>2681.6</v>
      </c>
      <c r="G135" s="15">
        <f t="shared" si="18"/>
        <v>2681.6</v>
      </c>
      <c r="H135" s="53" t="e">
        <f t="shared" si="19"/>
        <v>#DIV/0!</v>
      </c>
    </row>
    <row r="136" spans="1:12" ht="29.25" customHeight="1">
      <c r="A136" s="69"/>
      <c r="B136" s="17" t="s">
        <v>176</v>
      </c>
      <c r="C136" s="43"/>
      <c r="D136" s="18">
        <v>509</v>
      </c>
      <c r="E136" s="18"/>
      <c r="F136" s="18">
        <v>62.5</v>
      </c>
      <c r="G136" s="15">
        <f t="shared" si="18"/>
        <v>62.5</v>
      </c>
      <c r="H136" s="53" t="e">
        <f t="shared" si="19"/>
        <v>#DIV/0!</v>
      </c>
    </row>
    <row r="137" spans="1:12" ht="24.75" customHeight="1">
      <c r="A137" s="36" t="s">
        <v>303</v>
      </c>
      <c r="B137" s="54" t="s">
        <v>181</v>
      </c>
      <c r="C137" s="52"/>
      <c r="D137" s="14">
        <f>D139</f>
        <v>29.8</v>
      </c>
      <c r="E137" s="14">
        <f>E139</f>
        <v>31.3</v>
      </c>
      <c r="F137" s="14">
        <f>F139</f>
        <v>75.399999999999991</v>
      </c>
      <c r="G137" s="19">
        <f t="shared" si="18"/>
        <v>44.099999999999994</v>
      </c>
      <c r="H137" s="19">
        <f t="shared" si="19"/>
        <v>240.89456869009581</v>
      </c>
    </row>
    <row r="138" spans="1:12" ht="24.75" customHeight="1">
      <c r="A138" s="69"/>
      <c r="B138" s="35" t="s">
        <v>86</v>
      </c>
      <c r="C138" s="72"/>
      <c r="D138" s="18"/>
      <c r="E138" s="18"/>
      <c r="F138" s="18"/>
      <c r="G138" s="19"/>
      <c r="H138" s="19"/>
    </row>
    <row r="139" spans="1:12" ht="24.75" customHeight="1">
      <c r="A139" s="36" t="s">
        <v>304</v>
      </c>
      <c r="B139" s="59" t="s">
        <v>12</v>
      </c>
      <c r="C139" s="58">
        <v>1030</v>
      </c>
      <c r="D139" s="14">
        <f>D140</f>
        <v>29.8</v>
      </c>
      <c r="E139" s="14">
        <f>E140</f>
        <v>31.3</v>
      </c>
      <c r="F139" s="14">
        <f>F140</f>
        <v>75.399999999999991</v>
      </c>
      <c r="G139" s="19">
        <f t="shared" si="18"/>
        <v>44.099999999999994</v>
      </c>
      <c r="H139" s="19">
        <f t="shared" si="19"/>
        <v>240.89456869009581</v>
      </c>
    </row>
    <row r="140" spans="1:12" ht="24.75" customHeight="1">
      <c r="A140" s="66" t="s">
        <v>305</v>
      </c>
      <c r="B140" s="73" t="s">
        <v>93</v>
      </c>
      <c r="C140" s="39">
        <v>1035</v>
      </c>
      <c r="D140" s="40">
        <f>SUM(D141:D143)</f>
        <v>29.8</v>
      </c>
      <c r="E140" s="40">
        <f>SUM(E141:E143)</f>
        <v>31.3</v>
      </c>
      <c r="F140" s="40">
        <f>SUM(F141:F143)</f>
        <v>75.399999999999991</v>
      </c>
      <c r="G140" s="41">
        <f t="shared" si="18"/>
        <v>44.099999999999994</v>
      </c>
      <c r="H140" s="41">
        <f t="shared" si="19"/>
        <v>240.89456869009581</v>
      </c>
    </row>
    <row r="141" spans="1:12" ht="24.75" customHeight="1">
      <c r="A141" s="68"/>
      <c r="B141" s="17" t="s">
        <v>167</v>
      </c>
      <c r="C141" s="43"/>
      <c r="D141" s="18">
        <v>0.2</v>
      </c>
      <c r="E141" s="18">
        <v>5</v>
      </c>
      <c r="F141" s="18">
        <v>39.799999999999997</v>
      </c>
      <c r="G141" s="15">
        <f t="shared" si="18"/>
        <v>34.799999999999997</v>
      </c>
      <c r="H141" s="15">
        <f t="shared" si="19"/>
        <v>795.99999999999989</v>
      </c>
    </row>
    <row r="142" spans="1:12" ht="24.75" customHeight="1">
      <c r="A142" s="68"/>
      <c r="B142" s="17" t="s">
        <v>168</v>
      </c>
      <c r="C142" s="43"/>
      <c r="D142" s="18">
        <v>6.4</v>
      </c>
      <c r="E142" s="18">
        <v>2</v>
      </c>
      <c r="F142" s="18">
        <v>1.8</v>
      </c>
      <c r="G142" s="15">
        <f t="shared" si="18"/>
        <v>-0.19999999999999996</v>
      </c>
      <c r="H142" s="15">
        <f t="shared" si="19"/>
        <v>90</v>
      </c>
    </row>
    <row r="143" spans="1:12" ht="26.25" customHeight="1">
      <c r="A143" s="36"/>
      <c r="B143" s="17" t="s">
        <v>169</v>
      </c>
      <c r="C143" s="43"/>
      <c r="D143" s="18">
        <v>23.2</v>
      </c>
      <c r="E143" s="18">
        <v>24.3</v>
      </c>
      <c r="F143" s="18">
        <v>33.799999999999997</v>
      </c>
      <c r="G143" s="15">
        <f t="shared" si="18"/>
        <v>9.4999999999999964</v>
      </c>
      <c r="H143" s="15">
        <f t="shared" si="19"/>
        <v>139.0946502057613</v>
      </c>
    </row>
    <row r="144" spans="1:12" ht="33" customHeight="1">
      <c r="A144" s="36" t="s">
        <v>306</v>
      </c>
      <c r="B144" s="57" t="s">
        <v>182</v>
      </c>
      <c r="C144" s="166"/>
      <c r="D144" s="14">
        <f>D146+D152</f>
        <v>269.8</v>
      </c>
      <c r="E144" s="14">
        <f>E146+E152</f>
        <v>405</v>
      </c>
      <c r="F144" s="14">
        <f>F146+F152</f>
        <v>629.1</v>
      </c>
      <c r="G144" s="19">
        <f t="shared" si="18"/>
        <v>224.10000000000002</v>
      </c>
      <c r="H144" s="19">
        <f t="shared" si="19"/>
        <v>155.33333333333334</v>
      </c>
      <c r="J144" s="25"/>
      <c r="K144" s="2"/>
      <c r="L144" s="5"/>
    </row>
    <row r="145" spans="1:9" ht="27" customHeight="1">
      <c r="A145" s="36"/>
      <c r="B145" s="35" t="s">
        <v>86</v>
      </c>
      <c r="C145" s="166"/>
      <c r="D145" s="18"/>
      <c r="E145" s="18"/>
      <c r="F145" s="18"/>
      <c r="G145" s="19"/>
      <c r="H145" s="19"/>
      <c r="I145" s="20"/>
    </row>
    <row r="146" spans="1:9" ht="32.25" customHeight="1">
      <c r="A146" s="36" t="s">
        <v>307</v>
      </c>
      <c r="B146" s="54" t="s">
        <v>90</v>
      </c>
      <c r="C146" s="166">
        <v>1010</v>
      </c>
      <c r="D146" s="14">
        <f>D147</f>
        <v>267.7</v>
      </c>
      <c r="E146" s="14">
        <f>E147</f>
        <v>397.5</v>
      </c>
      <c r="F146" s="14">
        <f>F147</f>
        <v>626.70000000000005</v>
      </c>
      <c r="G146" s="19">
        <f t="shared" si="18"/>
        <v>229.20000000000005</v>
      </c>
      <c r="H146" s="19">
        <f t="shared" si="19"/>
        <v>157.66037735849056</v>
      </c>
      <c r="I146" s="20"/>
    </row>
    <row r="147" spans="1:9" ht="28.5" customHeight="1">
      <c r="A147" s="66" t="s">
        <v>308</v>
      </c>
      <c r="B147" s="38" t="s">
        <v>97</v>
      </c>
      <c r="C147" s="64">
        <v>1015</v>
      </c>
      <c r="D147" s="40">
        <f t="shared" ref="D147:E147" si="29">SUM(D148:D151)</f>
        <v>267.7</v>
      </c>
      <c r="E147" s="40">
        <f t="shared" si="29"/>
        <v>397.5</v>
      </c>
      <c r="F147" s="40">
        <f>SUM(F148:F151)</f>
        <v>626.70000000000005</v>
      </c>
      <c r="G147" s="41">
        <f t="shared" si="18"/>
        <v>229.20000000000005</v>
      </c>
      <c r="H147" s="41">
        <f t="shared" si="19"/>
        <v>157.66037735849056</v>
      </c>
    </row>
    <row r="148" spans="1:9" ht="24.75" customHeight="1">
      <c r="A148" s="68"/>
      <c r="B148" s="17" t="s">
        <v>183</v>
      </c>
      <c r="C148" s="12"/>
      <c r="D148" s="18">
        <v>55.2</v>
      </c>
      <c r="E148" s="18">
        <v>90</v>
      </c>
      <c r="F148" s="18"/>
      <c r="G148" s="15">
        <f t="shared" si="18"/>
        <v>-90</v>
      </c>
      <c r="H148" s="15">
        <f t="shared" si="19"/>
        <v>0</v>
      </c>
    </row>
    <row r="149" spans="1:9" ht="24.75" customHeight="1">
      <c r="A149" s="68"/>
      <c r="B149" s="17" t="s">
        <v>145</v>
      </c>
      <c r="C149" s="12"/>
      <c r="D149" s="18">
        <v>82.5</v>
      </c>
      <c r="E149" s="18">
        <v>50</v>
      </c>
      <c r="F149" s="18">
        <v>115</v>
      </c>
      <c r="G149" s="15">
        <f t="shared" si="18"/>
        <v>65</v>
      </c>
      <c r="H149" s="15">
        <f t="shared" si="19"/>
        <v>229.99999999999997</v>
      </c>
    </row>
    <row r="150" spans="1:9" ht="24.75" customHeight="1">
      <c r="A150" s="68"/>
      <c r="B150" s="17" t="s">
        <v>147</v>
      </c>
      <c r="C150" s="12"/>
      <c r="D150" s="18">
        <v>130</v>
      </c>
      <c r="E150" s="18">
        <v>57.5</v>
      </c>
      <c r="F150" s="18"/>
      <c r="G150" s="15">
        <f t="shared" si="18"/>
        <v>-57.5</v>
      </c>
      <c r="H150" s="15">
        <f t="shared" si="19"/>
        <v>0</v>
      </c>
    </row>
    <row r="151" spans="1:9" ht="24.75" customHeight="1">
      <c r="A151" s="68"/>
      <c r="B151" s="17" t="s">
        <v>194</v>
      </c>
      <c r="C151" s="12"/>
      <c r="D151" s="18"/>
      <c r="E151" s="18">
        <v>200</v>
      </c>
      <c r="F151" s="18">
        <v>511.7</v>
      </c>
      <c r="G151" s="15">
        <f t="shared" si="18"/>
        <v>311.7</v>
      </c>
      <c r="H151" s="15">
        <f t="shared" si="19"/>
        <v>255.85</v>
      </c>
    </row>
    <row r="152" spans="1:9" ht="28.5" customHeight="1">
      <c r="A152" s="36" t="s">
        <v>309</v>
      </c>
      <c r="B152" s="165" t="s">
        <v>92</v>
      </c>
      <c r="C152" s="166">
        <v>1020</v>
      </c>
      <c r="D152" s="14">
        <f t="shared" ref="D152:F153" si="30">D153</f>
        <v>2.1</v>
      </c>
      <c r="E152" s="14">
        <f t="shared" si="30"/>
        <v>7.5</v>
      </c>
      <c r="F152" s="14">
        <f t="shared" si="30"/>
        <v>2.4</v>
      </c>
      <c r="G152" s="19">
        <f t="shared" si="18"/>
        <v>-5.0999999999999996</v>
      </c>
      <c r="H152" s="19">
        <f t="shared" si="19"/>
        <v>32</v>
      </c>
    </row>
    <row r="153" spans="1:9" ht="30" customHeight="1">
      <c r="A153" s="66" t="s">
        <v>310</v>
      </c>
      <c r="B153" s="56" t="s">
        <v>172</v>
      </c>
      <c r="C153" s="39">
        <v>1025</v>
      </c>
      <c r="D153" s="40">
        <f t="shared" si="30"/>
        <v>2.1</v>
      </c>
      <c r="E153" s="40">
        <f>E154+E155</f>
        <v>7.5</v>
      </c>
      <c r="F153" s="40">
        <f>SUM(F154:F155)</f>
        <v>2.4</v>
      </c>
      <c r="G153" s="41">
        <f t="shared" si="18"/>
        <v>-5.0999999999999996</v>
      </c>
      <c r="H153" s="41">
        <f t="shared" si="19"/>
        <v>32</v>
      </c>
    </row>
    <row r="154" spans="1:9" ht="24.75" customHeight="1">
      <c r="A154" s="36"/>
      <c r="B154" s="21" t="s">
        <v>184</v>
      </c>
      <c r="C154" s="43"/>
      <c r="D154" s="18">
        <v>2.1</v>
      </c>
      <c r="E154" s="18">
        <v>2.5</v>
      </c>
      <c r="F154" s="18">
        <v>2.4</v>
      </c>
      <c r="G154" s="15">
        <f t="shared" si="18"/>
        <v>-0.10000000000000009</v>
      </c>
      <c r="H154" s="15">
        <f t="shared" si="19"/>
        <v>96</v>
      </c>
    </row>
    <row r="155" spans="1:9" ht="24.75" customHeight="1">
      <c r="A155" s="36"/>
      <c r="B155" s="21" t="s">
        <v>252</v>
      </c>
      <c r="C155" s="43"/>
      <c r="D155" s="18"/>
      <c r="E155" s="18">
        <v>5</v>
      </c>
      <c r="F155" s="18"/>
      <c r="G155" s="15">
        <f t="shared" si="18"/>
        <v>-5</v>
      </c>
      <c r="H155" s="15">
        <f t="shared" si="19"/>
        <v>0</v>
      </c>
    </row>
    <row r="156" spans="1:9" ht="30" customHeight="1">
      <c r="A156" s="36" t="s">
        <v>311</v>
      </c>
      <c r="B156" s="57" t="s">
        <v>244</v>
      </c>
      <c r="C156" s="58"/>
      <c r="D156" s="14">
        <f>D158</f>
        <v>5.9</v>
      </c>
      <c r="E156" s="14"/>
      <c r="F156" s="14">
        <f>F158</f>
        <v>0</v>
      </c>
      <c r="G156" s="19">
        <f t="shared" ref="G156:G215" si="31">F156-E156</f>
        <v>0</v>
      </c>
      <c r="H156" s="188" t="e">
        <f t="shared" ref="H156:H215" si="32">(F156/E156)*100</f>
        <v>#DIV/0!</v>
      </c>
    </row>
    <row r="157" spans="1:9" ht="28.5" customHeight="1">
      <c r="A157" s="36"/>
      <c r="B157" s="21" t="s">
        <v>86</v>
      </c>
      <c r="C157" s="43"/>
      <c r="D157" s="113"/>
      <c r="E157" s="18"/>
      <c r="F157" s="18"/>
      <c r="G157" s="15"/>
      <c r="H157" s="53"/>
    </row>
    <row r="158" spans="1:9" ht="24.75" customHeight="1">
      <c r="A158" s="36" t="s">
        <v>312</v>
      </c>
      <c r="B158" s="57" t="s">
        <v>245</v>
      </c>
      <c r="C158" s="58">
        <v>1030</v>
      </c>
      <c r="D158" s="14">
        <f>D159</f>
        <v>5.9</v>
      </c>
      <c r="E158" s="14"/>
      <c r="F158" s="14">
        <f>F159</f>
        <v>0</v>
      </c>
      <c r="G158" s="19">
        <f t="shared" si="31"/>
        <v>0</v>
      </c>
      <c r="H158" s="188" t="e">
        <f t="shared" si="32"/>
        <v>#DIV/0!</v>
      </c>
    </row>
    <row r="159" spans="1:9" ht="24.75" customHeight="1">
      <c r="A159" s="66" t="s">
        <v>313</v>
      </c>
      <c r="B159" s="56" t="s">
        <v>245</v>
      </c>
      <c r="C159" s="39">
        <v>1035</v>
      </c>
      <c r="D159" s="40">
        <f>D160</f>
        <v>5.9</v>
      </c>
      <c r="E159" s="40"/>
      <c r="F159" s="40">
        <f>F160</f>
        <v>0</v>
      </c>
      <c r="G159" s="41">
        <f t="shared" si="31"/>
        <v>0</v>
      </c>
      <c r="H159" s="187" t="e">
        <f t="shared" si="32"/>
        <v>#DIV/0!</v>
      </c>
    </row>
    <row r="160" spans="1:9" ht="24.75" customHeight="1">
      <c r="A160" s="36"/>
      <c r="B160" s="21" t="s">
        <v>246</v>
      </c>
      <c r="C160" s="43"/>
      <c r="D160" s="18">
        <v>5.9</v>
      </c>
      <c r="E160" s="18"/>
      <c r="F160" s="18"/>
      <c r="G160" s="15">
        <f t="shared" si="31"/>
        <v>0</v>
      </c>
      <c r="H160" s="53" t="e">
        <f t="shared" si="32"/>
        <v>#DIV/0!</v>
      </c>
    </row>
    <row r="161" spans="1:15" ht="26.25" customHeight="1">
      <c r="A161" s="36" t="s">
        <v>179</v>
      </c>
      <c r="B161" s="165" t="s">
        <v>197</v>
      </c>
      <c r="C161" s="197"/>
      <c r="D161" s="14">
        <f>D163</f>
        <v>1247.3000000000002</v>
      </c>
      <c r="E161" s="14">
        <f>E163</f>
        <v>0</v>
      </c>
      <c r="F161" s="14">
        <f>F163+F175</f>
        <v>753.90000000000009</v>
      </c>
      <c r="G161" s="19">
        <f t="shared" si="31"/>
        <v>753.90000000000009</v>
      </c>
      <c r="H161" s="53" t="e">
        <f t="shared" si="32"/>
        <v>#DIV/0!</v>
      </c>
      <c r="I161" s="20"/>
    </row>
    <row r="162" spans="1:15" ht="24.75" customHeight="1">
      <c r="A162" s="68"/>
      <c r="B162" s="35" t="s">
        <v>86</v>
      </c>
      <c r="C162" s="12"/>
      <c r="D162" s="18"/>
      <c r="E162" s="18">
        <f>E164</f>
        <v>0</v>
      </c>
      <c r="F162" s="18"/>
      <c r="G162" s="19"/>
      <c r="H162" s="19"/>
    </row>
    <row r="163" spans="1:15" ht="24.75" customHeight="1">
      <c r="A163" s="36" t="s">
        <v>233</v>
      </c>
      <c r="B163" s="165" t="s">
        <v>90</v>
      </c>
      <c r="C163" s="166">
        <v>1010</v>
      </c>
      <c r="D163" s="14">
        <f>D164+D170</f>
        <v>1247.3000000000002</v>
      </c>
      <c r="E163" s="14"/>
      <c r="F163" s="14">
        <f>F164+F170</f>
        <v>748.90000000000009</v>
      </c>
      <c r="G163" s="19">
        <f t="shared" si="31"/>
        <v>748.90000000000009</v>
      </c>
      <c r="H163" s="188" t="e">
        <f t="shared" si="32"/>
        <v>#DIV/0!</v>
      </c>
    </row>
    <row r="164" spans="1:15" s="82" customFormat="1" ht="24.75" customHeight="1">
      <c r="A164" s="66" t="s">
        <v>234</v>
      </c>
      <c r="B164" s="56" t="s">
        <v>106</v>
      </c>
      <c r="C164" s="39">
        <v>1011</v>
      </c>
      <c r="D164" s="40">
        <f>SUM(D165:D169)</f>
        <v>1050.7</v>
      </c>
      <c r="E164" s="40"/>
      <c r="F164" s="40">
        <f>SUM(F165:F169)</f>
        <v>665.50000000000011</v>
      </c>
      <c r="G164" s="41">
        <f t="shared" si="31"/>
        <v>665.50000000000011</v>
      </c>
      <c r="H164" s="187" t="e">
        <f t="shared" si="32"/>
        <v>#DIV/0!</v>
      </c>
      <c r="J164" s="86"/>
      <c r="O164" s="84"/>
    </row>
    <row r="165" spans="1:15" ht="24.75" customHeight="1">
      <c r="A165" s="36"/>
      <c r="B165" s="21" t="s">
        <v>191</v>
      </c>
      <c r="C165" s="58"/>
      <c r="D165" s="18">
        <v>849.5</v>
      </c>
      <c r="E165" s="18"/>
      <c r="F165" s="18">
        <f>573+63.2-0.8-0.4-60.4</f>
        <v>574.60000000000014</v>
      </c>
      <c r="G165" s="15">
        <f t="shared" si="31"/>
        <v>574.60000000000014</v>
      </c>
      <c r="H165" s="53" t="e">
        <f t="shared" si="32"/>
        <v>#DIV/0!</v>
      </c>
    </row>
    <row r="166" spans="1:15" ht="24.75" customHeight="1">
      <c r="A166" s="36"/>
      <c r="B166" s="21" t="s">
        <v>173</v>
      </c>
      <c r="C166" s="58"/>
      <c r="D166" s="18">
        <v>18</v>
      </c>
      <c r="E166" s="18"/>
      <c r="F166" s="18">
        <v>8.6</v>
      </c>
      <c r="G166" s="15">
        <f t="shared" si="31"/>
        <v>8.6</v>
      </c>
      <c r="H166" s="53" t="e">
        <f t="shared" si="32"/>
        <v>#DIV/0!</v>
      </c>
    </row>
    <row r="167" spans="1:15" ht="24.75" customHeight="1">
      <c r="A167" s="36"/>
      <c r="B167" s="21" t="s">
        <v>138</v>
      </c>
      <c r="C167" s="58"/>
      <c r="D167" s="18">
        <v>16.5</v>
      </c>
      <c r="E167" s="18"/>
      <c r="F167" s="18">
        <v>50.8</v>
      </c>
      <c r="G167" s="15">
        <f t="shared" si="31"/>
        <v>50.8</v>
      </c>
      <c r="H167" s="53" t="e">
        <f t="shared" si="32"/>
        <v>#DIV/0!</v>
      </c>
    </row>
    <row r="168" spans="1:15" ht="24.75" customHeight="1">
      <c r="A168" s="36"/>
      <c r="B168" s="21" t="s">
        <v>198</v>
      </c>
      <c r="C168" s="58"/>
      <c r="D168" s="18">
        <v>3</v>
      </c>
      <c r="E168" s="18"/>
      <c r="F168" s="18">
        <f>7.4+0.4</f>
        <v>7.8000000000000007</v>
      </c>
      <c r="G168" s="15">
        <f t="shared" si="31"/>
        <v>7.8000000000000007</v>
      </c>
      <c r="H168" s="53" t="e">
        <f t="shared" si="32"/>
        <v>#DIV/0!</v>
      </c>
    </row>
    <row r="169" spans="1:15" ht="40.5" customHeight="1">
      <c r="A169" s="36"/>
      <c r="B169" s="17" t="s">
        <v>192</v>
      </c>
      <c r="C169" s="58"/>
      <c r="D169" s="18">
        <v>163.69999999999999</v>
      </c>
      <c r="E169" s="18"/>
      <c r="F169" s="18">
        <v>23.7</v>
      </c>
      <c r="G169" s="15">
        <f t="shared" si="31"/>
        <v>23.7</v>
      </c>
      <c r="H169" s="53" t="e">
        <f t="shared" si="32"/>
        <v>#DIV/0!</v>
      </c>
      <c r="I169" s="20"/>
    </row>
    <row r="170" spans="1:15" s="82" customFormat="1" ht="27" customHeight="1">
      <c r="A170" s="66" t="s">
        <v>235</v>
      </c>
      <c r="B170" s="67" t="s">
        <v>97</v>
      </c>
      <c r="C170" s="64">
        <v>1015</v>
      </c>
      <c r="D170" s="40">
        <f t="shared" ref="D170:E170" si="33">SUM(D171:D174)</f>
        <v>196.60000000000002</v>
      </c>
      <c r="E170" s="40">
        <f t="shared" si="33"/>
        <v>0</v>
      </c>
      <c r="F170" s="40">
        <f>SUM(F171:F174)</f>
        <v>83.4</v>
      </c>
      <c r="G170" s="41">
        <f t="shared" si="31"/>
        <v>83.4</v>
      </c>
      <c r="H170" s="187" t="e">
        <f t="shared" si="32"/>
        <v>#DIV/0!</v>
      </c>
      <c r="J170" s="86"/>
      <c r="O170" s="84"/>
    </row>
    <row r="171" spans="1:15" ht="27" customHeight="1">
      <c r="A171" s="68"/>
      <c r="B171" s="74" t="s">
        <v>291</v>
      </c>
      <c r="C171" s="12"/>
      <c r="D171" s="18"/>
      <c r="E171" s="18"/>
      <c r="F171" s="18">
        <v>2.7</v>
      </c>
      <c r="G171" s="15">
        <f t="shared" si="31"/>
        <v>2.7</v>
      </c>
      <c r="H171" s="53" t="e">
        <f t="shared" si="32"/>
        <v>#DIV/0!</v>
      </c>
      <c r="J171" s="167"/>
      <c r="K171" s="2"/>
    </row>
    <row r="172" spans="1:15" ht="24.75" customHeight="1">
      <c r="A172" s="36"/>
      <c r="B172" s="17" t="s">
        <v>164</v>
      </c>
      <c r="C172" s="12"/>
      <c r="D172" s="18">
        <v>152.4</v>
      </c>
      <c r="E172" s="18"/>
      <c r="F172" s="18">
        <v>75.900000000000006</v>
      </c>
      <c r="G172" s="15">
        <f t="shared" si="31"/>
        <v>75.900000000000006</v>
      </c>
      <c r="H172" s="53" t="e">
        <f t="shared" si="32"/>
        <v>#DIV/0!</v>
      </c>
    </row>
    <row r="173" spans="1:15" ht="24.75" customHeight="1">
      <c r="A173" s="36"/>
      <c r="B173" s="17" t="s">
        <v>183</v>
      </c>
      <c r="C173" s="12"/>
      <c r="D173" s="18">
        <v>41.7</v>
      </c>
      <c r="E173" s="18"/>
      <c r="F173" s="18">
        <v>4.8</v>
      </c>
      <c r="G173" s="15">
        <f t="shared" si="31"/>
        <v>4.8</v>
      </c>
      <c r="H173" s="53" t="e">
        <f t="shared" si="32"/>
        <v>#DIV/0!</v>
      </c>
    </row>
    <row r="174" spans="1:15" ht="24.75" customHeight="1">
      <c r="A174" s="36"/>
      <c r="B174" s="17" t="s">
        <v>170</v>
      </c>
      <c r="C174" s="12"/>
      <c r="D174" s="18">
        <v>2.5</v>
      </c>
      <c r="E174" s="18"/>
      <c r="F174" s="18"/>
      <c r="G174" s="15">
        <f t="shared" si="31"/>
        <v>0</v>
      </c>
      <c r="H174" s="53" t="e">
        <f t="shared" si="32"/>
        <v>#DIV/0!</v>
      </c>
    </row>
    <row r="175" spans="1:15" s="5" customFormat="1" ht="24.75" customHeight="1">
      <c r="A175" s="36"/>
      <c r="B175" s="57" t="s">
        <v>245</v>
      </c>
      <c r="C175" s="58">
        <v>1030</v>
      </c>
      <c r="D175" s="14"/>
      <c r="E175" s="14"/>
      <c r="F175" s="14">
        <f>F176</f>
        <v>5</v>
      </c>
      <c r="G175" s="19">
        <f t="shared" si="31"/>
        <v>5</v>
      </c>
      <c r="H175" s="188" t="e">
        <f t="shared" si="32"/>
        <v>#DIV/0!</v>
      </c>
      <c r="J175" s="85"/>
      <c r="O175" s="77"/>
    </row>
    <row r="176" spans="1:15" s="82" customFormat="1" ht="24.75" customHeight="1">
      <c r="A176" s="66"/>
      <c r="B176" s="56" t="s">
        <v>245</v>
      </c>
      <c r="C176" s="39">
        <v>1035</v>
      </c>
      <c r="D176" s="40"/>
      <c r="E176" s="40"/>
      <c r="F176" s="40">
        <f>F177</f>
        <v>5</v>
      </c>
      <c r="G176" s="41">
        <f t="shared" si="31"/>
        <v>5</v>
      </c>
      <c r="H176" s="187" t="e">
        <f t="shared" si="32"/>
        <v>#DIV/0!</v>
      </c>
      <c r="J176" s="86"/>
      <c r="O176" s="84"/>
    </row>
    <row r="177" spans="1:10" ht="27.75" customHeight="1">
      <c r="A177" s="36"/>
      <c r="B177" s="17" t="s">
        <v>226</v>
      </c>
      <c r="C177" s="12"/>
      <c r="D177" s="18"/>
      <c r="E177" s="18"/>
      <c r="F177" s="18">
        <v>5</v>
      </c>
      <c r="G177" s="15">
        <f t="shared" si="31"/>
        <v>5</v>
      </c>
      <c r="H177" s="53" t="e">
        <f t="shared" si="32"/>
        <v>#DIV/0!</v>
      </c>
    </row>
    <row r="178" spans="1:10" ht="24.75" customHeight="1">
      <c r="A178" s="36" t="s">
        <v>180</v>
      </c>
      <c r="B178" s="165" t="s">
        <v>257</v>
      </c>
      <c r="C178" s="166"/>
      <c r="D178" s="14">
        <f>D180</f>
        <v>29</v>
      </c>
      <c r="E178" s="14">
        <f>E180</f>
        <v>0</v>
      </c>
      <c r="F178" s="14">
        <f>F180</f>
        <v>60.4</v>
      </c>
      <c r="G178" s="19">
        <f t="shared" si="31"/>
        <v>60.4</v>
      </c>
      <c r="H178" s="188" t="e">
        <f t="shared" si="32"/>
        <v>#DIV/0!</v>
      </c>
    </row>
    <row r="179" spans="1:10" ht="24.75" customHeight="1">
      <c r="A179" s="36"/>
      <c r="B179" s="62" t="s">
        <v>86</v>
      </c>
      <c r="C179" s="12"/>
      <c r="D179" s="18"/>
      <c r="E179" s="18"/>
      <c r="F179" s="18"/>
      <c r="G179" s="15"/>
      <c r="H179" s="15"/>
    </row>
    <row r="180" spans="1:10" ht="24.75" customHeight="1">
      <c r="A180" s="36" t="s">
        <v>236</v>
      </c>
      <c r="B180" s="54" t="s">
        <v>90</v>
      </c>
      <c r="C180" s="166">
        <v>1010</v>
      </c>
      <c r="D180" s="14">
        <f>D181+D185</f>
        <v>29</v>
      </c>
      <c r="E180" s="14"/>
      <c r="F180" s="14">
        <f>F181+F185</f>
        <v>60.4</v>
      </c>
      <c r="G180" s="19">
        <f t="shared" si="31"/>
        <v>60.4</v>
      </c>
      <c r="H180" s="188" t="e">
        <f t="shared" si="32"/>
        <v>#DIV/0!</v>
      </c>
    </row>
    <row r="181" spans="1:10" ht="24.75" customHeight="1">
      <c r="A181" s="66" t="s">
        <v>237</v>
      </c>
      <c r="B181" s="38" t="s">
        <v>106</v>
      </c>
      <c r="C181" s="64">
        <v>1011</v>
      </c>
      <c r="D181" s="40">
        <f>SUM(D183:D183)</f>
        <v>29</v>
      </c>
      <c r="E181" s="40">
        <f>SUM(E183:E183)</f>
        <v>0</v>
      </c>
      <c r="F181" s="40">
        <f>SUM(F182:F183)</f>
        <v>60.4</v>
      </c>
      <c r="G181" s="41">
        <f t="shared" si="31"/>
        <v>60.4</v>
      </c>
      <c r="H181" s="187" t="e">
        <f t="shared" si="32"/>
        <v>#DIV/0!</v>
      </c>
    </row>
    <row r="182" spans="1:10" ht="24.75" customHeight="1">
      <c r="A182" s="66"/>
      <c r="B182" s="17" t="s">
        <v>191</v>
      </c>
      <c r="C182" s="12"/>
      <c r="D182" s="18"/>
      <c r="E182" s="40"/>
      <c r="F182" s="18">
        <v>60.4</v>
      </c>
      <c r="G182" s="15">
        <f t="shared" ref="G182" si="34">F182-E182</f>
        <v>60.4</v>
      </c>
      <c r="H182" s="53" t="e">
        <f t="shared" ref="H182" si="35">(F182/E182)*100</f>
        <v>#DIV/0!</v>
      </c>
    </row>
    <row r="183" spans="1:10" ht="39.75" customHeight="1">
      <c r="A183" s="36" t="s">
        <v>254</v>
      </c>
      <c r="B183" s="17" t="s">
        <v>192</v>
      </c>
      <c r="C183" s="12"/>
      <c r="D183" s="18">
        <v>29</v>
      </c>
      <c r="E183" s="18"/>
      <c r="F183" s="18"/>
      <c r="G183" s="15">
        <f t="shared" si="31"/>
        <v>0</v>
      </c>
      <c r="H183" s="53" t="e">
        <f t="shared" si="32"/>
        <v>#DIV/0!</v>
      </c>
    </row>
    <row r="184" spans="1:10" ht="24.75" customHeight="1">
      <c r="A184" s="36" t="s">
        <v>241</v>
      </c>
      <c r="B184" s="54" t="s">
        <v>200</v>
      </c>
      <c r="C184" s="166"/>
      <c r="D184" s="14">
        <f>D186+D197+D205</f>
        <v>188.8</v>
      </c>
      <c r="E184" s="14">
        <f>E186+E197</f>
        <v>0</v>
      </c>
      <c r="F184" s="14">
        <f>F186+F197+F205</f>
        <v>104.1</v>
      </c>
      <c r="G184" s="19">
        <f t="shared" si="31"/>
        <v>104.1</v>
      </c>
      <c r="H184" s="188" t="e">
        <f t="shared" si="32"/>
        <v>#DIV/0!</v>
      </c>
      <c r="I184" s="20"/>
      <c r="J184" s="25"/>
    </row>
    <row r="185" spans="1:10" ht="24.75" customHeight="1">
      <c r="A185" s="36"/>
      <c r="B185" s="62" t="s">
        <v>86</v>
      </c>
      <c r="C185" s="166"/>
      <c r="D185" s="18"/>
      <c r="E185" s="18"/>
      <c r="F185" s="18"/>
      <c r="G185" s="15"/>
      <c r="H185" s="15"/>
      <c r="J185" s="25"/>
    </row>
    <row r="186" spans="1:10" ht="24.75" customHeight="1">
      <c r="A186" s="36" t="s">
        <v>241</v>
      </c>
      <c r="B186" s="165" t="s">
        <v>90</v>
      </c>
      <c r="C186" s="166">
        <v>1010</v>
      </c>
      <c r="D186" s="14">
        <f>D187+D190+D191</f>
        <v>123.80000000000001</v>
      </c>
      <c r="E186" s="14">
        <f>E187+E190+E191</f>
        <v>0</v>
      </c>
      <c r="F186" s="14">
        <f>F187+F190+F191</f>
        <v>44.2</v>
      </c>
      <c r="G186" s="19">
        <f t="shared" si="31"/>
        <v>44.2</v>
      </c>
      <c r="H186" s="188" t="e">
        <f t="shared" si="32"/>
        <v>#DIV/0!</v>
      </c>
    </row>
    <row r="187" spans="1:10" ht="27.75" customHeight="1">
      <c r="A187" s="66" t="s">
        <v>314</v>
      </c>
      <c r="B187" s="56" t="s">
        <v>106</v>
      </c>
      <c r="C187" s="39">
        <v>1011</v>
      </c>
      <c r="D187" s="40">
        <f>SUM(D188:D189)</f>
        <v>92.600000000000009</v>
      </c>
      <c r="E187" s="40">
        <f>SUM(E188:E189)</f>
        <v>0</v>
      </c>
      <c r="F187" s="40">
        <f>SUM(F188:F189)</f>
        <v>11</v>
      </c>
      <c r="G187" s="41">
        <f t="shared" si="31"/>
        <v>11</v>
      </c>
      <c r="H187" s="187" t="e">
        <f t="shared" si="32"/>
        <v>#DIV/0!</v>
      </c>
    </row>
    <row r="188" spans="1:10" ht="39.75" customHeight="1">
      <c r="A188" s="68"/>
      <c r="B188" s="17" t="s">
        <v>192</v>
      </c>
      <c r="C188" s="58"/>
      <c r="D188" s="18">
        <v>0.2</v>
      </c>
      <c r="E188" s="18"/>
      <c r="F188" s="18"/>
      <c r="G188" s="15">
        <f t="shared" si="31"/>
        <v>0</v>
      </c>
      <c r="H188" s="53" t="e">
        <f t="shared" si="32"/>
        <v>#DIV/0!</v>
      </c>
    </row>
    <row r="189" spans="1:10" ht="24.75" customHeight="1">
      <c r="A189" s="68"/>
      <c r="B189" s="17" t="s">
        <v>198</v>
      </c>
      <c r="C189" s="58"/>
      <c r="D189" s="18">
        <v>92.4</v>
      </c>
      <c r="E189" s="18"/>
      <c r="F189" s="18">
        <f>18.8-7.4-0.4</f>
        <v>11</v>
      </c>
      <c r="G189" s="15">
        <f t="shared" si="31"/>
        <v>11</v>
      </c>
      <c r="H189" s="53" t="e">
        <f t="shared" si="32"/>
        <v>#DIV/0!</v>
      </c>
    </row>
    <row r="190" spans="1:10" ht="24.75" customHeight="1">
      <c r="A190" s="66" t="s">
        <v>315</v>
      </c>
      <c r="B190" s="56" t="s">
        <v>4</v>
      </c>
      <c r="C190" s="64">
        <v>1014</v>
      </c>
      <c r="D190" s="40">
        <v>8.9</v>
      </c>
      <c r="E190" s="40"/>
      <c r="F190" s="40">
        <v>3.9</v>
      </c>
      <c r="G190" s="41">
        <f t="shared" si="31"/>
        <v>3.9</v>
      </c>
      <c r="H190" s="187" t="e">
        <f t="shared" si="32"/>
        <v>#DIV/0!</v>
      </c>
    </row>
    <row r="191" spans="1:10" ht="24.75" customHeight="1">
      <c r="A191" s="66" t="s">
        <v>316</v>
      </c>
      <c r="B191" s="67" t="s">
        <v>97</v>
      </c>
      <c r="C191" s="64">
        <v>1015</v>
      </c>
      <c r="D191" s="40">
        <f>SUM(D192:D196)</f>
        <v>22.3</v>
      </c>
      <c r="E191" s="40">
        <f>SUM(E192:E196)</f>
        <v>0</v>
      </c>
      <c r="F191" s="40">
        <f>SUM(F192:F196)</f>
        <v>29.3</v>
      </c>
      <c r="G191" s="41">
        <f t="shared" si="31"/>
        <v>29.3</v>
      </c>
      <c r="H191" s="187" t="e">
        <f t="shared" si="32"/>
        <v>#DIV/0!</v>
      </c>
      <c r="I191" s="20"/>
      <c r="J191" s="25"/>
    </row>
    <row r="192" spans="1:10" ht="24.75" customHeight="1">
      <c r="A192" s="36"/>
      <c r="B192" s="17" t="s">
        <v>151</v>
      </c>
      <c r="C192" s="58"/>
      <c r="D192" s="18">
        <v>2.1</v>
      </c>
      <c r="E192" s="18"/>
      <c r="F192" s="18">
        <v>16.600000000000001</v>
      </c>
      <c r="G192" s="15">
        <f t="shared" si="31"/>
        <v>16.600000000000001</v>
      </c>
      <c r="H192" s="53" t="e">
        <f t="shared" si="32"/>
        <v>#DIV/0!</v>
      </c>
    </row>
    <row r="193" spans="1:10" ht="24.75" customHeight="1">
      <c r="A193" s="36"/>
      <c r="B193" s="17" t="s">
        <v>163</v>
      </c>
      <c r="C193" s="58"/>
      <c r="D193" s="18">
        <v>3.6</v>
      </c>
      <c r="E193" s="18"/>
      <c r="F193" s="18"/>
      <c r="G193" s="15">
        <f t="shared" si="31"/>
        <v>0</v>
      </c>
      <c r="H193" s="53" t="e">
        <f t="shared" si="32"/>
        <v>#DIV/0!</v>
      </c>
    </row>
    <row r="194" spans="1:10" ht="24.75" customHeight="1">
      <c r="A194" s="36"/>
      <c r="B194" s="17" t="s">
        <v>161</v>
      </c>
      <c r="C194" s="58"/>
      <c r="D194" s="18">
        <v>0.9</v>
      </c>
      <c r="E194" s="18"/>
      <c r="F194" s="18"/>
      <c r="G194" s="15">
        <f t="shared" si="31"/>
        <v>0</v>
      </c>
      <c r="H194" s="53" t="e">
        <f t="shared" si="32"/>
        <v>#DIV/0!</v>
      </c>
    </row>
    <row r="195" spans="1:10" ht="24.75" customHeight="1">
      <c r="A195" s="36"/>
      <c r="B195" s="17" t="s">
        <v>290</v>
      </c>
      <c r="C195" s="58"/>
      <c r="D195" s="18">
        <v>11.2</v>
      </c>
      <c r="E195" s="18"/>
      <c r="F195" s="18">
        <v>12.7</v>
      </c>
      <c r="G195" s="15">
        <f t="shared" si="31"/>
        <v>12.7</v>
      </c>
      <c r="H195" s="53" t="e">
        <f t="shared" si="32"/>
        <v>#DIV/0!</v>
      </c>
    </row>
    <row r="196" spans="1:10" ht="24.75" customHeight="1">
      <c r="A196" s="36"/>
      <c r="B196" s="17" t="s">
        <v>207</v>
      </c>
      <c r="C196" s="58"/>
      <c r="D196" s="18">
        <v>4.5</v>
      </c>
      <c r="E196" s="18"/>
      <c r="F196" s="18"/>
      <c r="G196" s="15">
        <f t="shared" si="31"/>
        <v>0</v>
      </c>
      <c r="H196" s="53" t="e">
        <f t="shared" si="32"/>
        <v>#DIV/0!</v>
      </c>
    </row>
    <row r="197" spans="1:10" ht="24.75" customHeight="1">
      <c r="A197" s="36" t="s">
        <v>317</v>
      </c>
      <c r="B197" s="165" t="s">
        <v>92</v>
      </c>
      <c r="C197" s="166">
        <v>1020</v>
      </c>
      <c r="D197" s="14">
        <f t="shared" ref="D197:E197" si="36">D198</f>
        <v>44.099999999999994</v>
      </c>
      <c r="E197" s="14">
        <f t="shared" si="36"/>
        <v>0</v>
      </c>
      <c r="F197" s="14">
        <f>F198</f>
        <v>46.399999999999991</v>
      </c>
      <c r="G197" s="19">
        <f t="shared" si="31"/>
        <v>46.399999999999991</v>
      </c>
      <c r="H197" s="188" t="e">
        <f t="shared" si="32"/>
        <v>#DIV/0!</v>
      </c>
    </row>
    <row r="198" spans="1:10" ht="24.75" customHeight="1">
      <c r="A198" s="66" t="s">
        <v>318</v>
      </c>
      <c r="B198" s="56" t="s">
        <v>172</v>
      </c>
      <c r="C198" s="39">
        <v>1025</v>
      </c>
      <c r="D198" s="40">
        <f>SUM(D199:D204)</f>
        <v>44.099999999999994</v>
      </c>
      <c r="E198" s="40">
        <f>SUM(E199:E204)</f>
        <v>0</v>
      </c>
      <c r="F198" s="40">
        <f>SUM(F199:F204)</f>
        <v>46.399999999999991</v>
      </c>
      <c r="G198" s="41">
        <f t="shared" si="31"/>
        <v>46.399999999999991</v>
      </c>
      <c r="H198" s="187" t="e">
        <f t="shared" si="32"/>
        <v>#DIV/0!</v>
      </c>
    </row>
    <row r="199" spans="1:10" ht="40.5" customHeight="1">
      <c r="A199" s="36"/>
      <c r="B199" s="17" t="s">
        <v>199</v>
      </c>
      <c r="C199" s="43"/>
      <c r="D199" s="18">
        <v>20.7</v>
      </c>
      <c r="E199" s="18"/>
      <c r="F199" s="18">
        <v>19.399999999999999</v>
      </c>
      <c r="G199" s="15">
        <f t="shared" si="31"/>
        <v>19.399999999999999</v>
      </c>
      <c r="H199" s="53" t="e">
        <f t="shared" si="32"/>
        <v>#DIV/0!</v>
      </c>
    </row>
    <row r="200" spans="1:10" ht="27.75" customHeight="1">
      <c r="A200" s="36"/>
      <c r="B200" s="17" t="s">
        <v>166</v>
      </c>
      <c r="C200" s="43"/>
      <c r="D200" s="18">
        <v>1</v>
      </c>
      <c r="E200" s="18"/>
      <c r="F200" s="18"/>
      <c r="G200" s="15">
        <f t="shared" si="31"/>
        <v>0</v>
      </c>
      <c r="H200" s="53" t="e">
        <f t="shared" si="32"/>
        <v>#DIV/0!</v>
      </c>
    </row>
    <row r="201" spans="1:10" ht="24" customHeight="1">
      <c r="A201" s="36"/>
      <c r="B201" s="17" t="s">
        <v>184</v>
      </c>
      <c r="C201" s="43"/>
      <c r="D201" s="18">
        <v>0.3</v>
      </c>
      <c r="E201" s="18"/>
      <c r="F201" s="18">
        <v>0.4</v>
      </c>
      <c r="G201" s="15">
        <f t="shared" si="31"/>
        <v>0.4</v>
      </c>
      <c r="H201" s="53" t="e">
        <f t="shared" si="32"/>
        <v>#DIV/0!</v>
      </c>
    </row>
    <row r="202" spans="1:10" ht="24" customHeight="1">
      <c r="A202" s="36"/>
      <c r="B202" s="17" t="s">
        <v>247</v>
      </c>
      <c r="C202" s="43"/>
      <c r="D202" s="18">
        <v>9</v>
      </c>
      <c r="E202" s="18"/>
      <c r="F202" s="18"/>
      <c r="G202" s="15">
        <f t="shared" si="31"/>
        <v>0</v>
      </c>
      <c r="H202" s="53" t="e">
        <f t="shared" si="32"/>
        <v>#DIV/0!</v>
      </c>
    </row>
    <row r="203" spans="1:10" ht="24" customHeight="1">
      <c r="A203" s="36"/>
      <c r="B203" s="17" t="s">
        <v>243</v>
      </c>
      <c r="C203" s="58"/>
      <c r="D203" s="18">
        <v>5.3</v>
      </c>
      <c r="E203" s="18"/>
      <c r="F203" s="18">
        <v>11.4</v>
      </c>
      <c r="G203" s="15">
        <f t="shared" si="31"/>
        <v>11.4</v>
      </c>
      <c r="H203" s="53" t="e">
        <f t="shared" si="32"/>
        <v>#DIV/0!</v>
      </c>
    </row>
    <row r="204" spans="1:10" ht="26.25" customHeight="1">
      <c r="A204" s="36"/>
      <c r="B204" s="17" t="s">
        <v>156</v>
      </c>
      <c r="C204" s="43"/>
      <c r="D204" s="18">
        <v>7.8</v>
      </c>
      <c r="E204" s="18"/>
      <c r="F204" s="18">
        <v>15.2</v>
      </c>
      <c r="G204" s="15">
        <f t="shared" si="31"/>
        <v>15.2</v>
      </c>
      <c r="H204" s="53" t="e">
        <f t="shared" si="32"/>
        <v>#DIV/0!</v>
      </c>
    </row>
    <row r="205" spans="1:10" ht="28.5" customHeight="1">
      <c r="A205" s="36" t="s">
        <v>319</v>
      </c>
      <c r="B205" s="54" t="s">
        <v>239</v>
      </c>
      <c r="C205" s="58">
        <v>1030</v>
      </c>
      <c r="D205" s="14">
        <f>D206</f>
        <v>20.9</v>
      </c>
      <c r="E205" s="14"/>
      <c r="F205" s="14">
        <f>F206</f>
        <v>13.5</v>
      </c>
      <c r="G205" s="19">
        <f t="shared" si="31"/>
        <v>13.5</v>
      </c>
      <c r="H205" s="188" t="e">
        <f t="shared" si="32"/>
        <v>#DIV/0!</v>
      </c>
    </row>
    <row r="206" spans="1:10" ht="26.25" customHeight="1">
      <c r="A206" s="66" t="s">
        <v>320</v>
      </c>
      <c r="B206" s="38" t="s">
        <v>239</v>
      </c>
      <c r="C206" s="39">
        <v>1035</v>
      </c>
      <c r="D206" s="40">
        <f>SUM(D207:D207)</f>
        <v>20.9</v>
      </c>
      <c r="E206" s="40"/>
      <c r="F206" s="40">
        <f>F207</f>
        <v>13.5</v>
      </c>
      <c r="G206" s="41">
        <f t="shared" si="31"/>
        <v>13.5</v>
      </c>
      <c r="H206" s="187" t="e">
        <f t="shared" si="32"/>
        <v>#DIV/0!</v>
      </c>
    </row>
    <row r="207" spans="1:10" ht="27" customHeight="1">
      <c r="A207" s="36"/>
      <c r="B207" s="17" t="s">
        <v>196</v>
      </c>
      <c r="C207" s="43"/>
      <c r="D207" s="18">
        <v>20.9</v>
      </c>
      <c r="E207" s="18"/>
      <c r="F207" s="18">
        <v>13.5</v>
      </c>
      <c r="G207" s="15">
        <f t="shared" si="31"/>
        <v>13.5</v>
      </c>
      <c r="H207" s="53" t="e">
        <f t="shared" si="32"/>
        <v>#DIV/0!</v>
      </c>
    </row>
    <row r="208" spans="1:10" ht="30" customHeight="1">
      <c r="A208" s="36" t="s">
        <v>321</v>
      </c>
      <c r="B208" s="198" t="s">
        <v>202</v>
      </c>
      <c r="C208" s="58"/>
      <c r="D208" s="14">
        <f>D210+D213</f>
        <v>1964.6999999999998</v>
      </c>
      <c r="E208" s="14">
        <f>E210+E213</f>
        <v>2750</v>
      </c>
      <c r="F208" s="14">
        <f>F210+F213</f>
        <v>2402.9</v>
      </c>
      <c r="G208" s="19">
        <f t="shared" si="31"/>
        <v>-347.09999999999991</v>
      </c>
      <c r="H208" s="19">
        <f t="shared" si="32"/>
        <v>87.378181818181815</v>
      </c>
      <c r="J208" s="25"/>
    </row>
    <row r="209" spans="1:15" ht="27.75" customHeight="1">
      <c r="A209" s="36"/>
      <c r="B209" s="35" t="s">
        <v>86</v>
      </c>
      <c r="C209" s="58"/>
      <c r="D209" s="18"/>
      <c r="E209" s="18"/>
      <c r="F209" s="18"/>
      <c r="G209" s="15"/>
      <c r="H209" s="15"/>
    </row>
    <row r="210" spans="1:15" ht="27.75" customHeight="1">
      <c r="A210" s="36" t="s">
        <v>322</v>
      </c>
      <c r="B210" s="198" t="s">
        <v>90</v>
      </c>
      <c r="C210" s="58">
        <v>1010</v>
      </c>
      <c r="D210" s="14">
        <f t="shared" ref="D210:F211" si="37">D211</f>
        <v>1670.8</v>
      </c>
      <c r="E210" s="14">
        <f t="shared" si="37"/>
        <v>2274</v>
      </c>
      <c r="F210" s="14">
        <f t="shared" si="37"/>
        <v>1482.8000000000002</v>
      </c>
      <c r="G210" s="19">
        <f t="shared" si="31"/>
        <v>-791.19999999999982</v>
      </c>
      <c r="H210" s="19">
        <f t="shared" si="32"/>
        <v>65.206684256816189</v>
      </c>
      <c r="I210" s="110"/>
      <c r="J210" s="25"/>
      <c r="K210" s="25"/>
    </row>
    <row r="211" spans="1:15" ht="27.75" customHeight="1">
      <c r="A211" s="66" t="s">
        <v>323</v>
      </c>
      <c r="B211" s="67" t="s">
        <v>4</v>
      </c>
      <c r="C211" s="39">
        <v>1014</v>
      </c>
      <c r="D211" s="40">
        <f t="shared" si="37"/>
        <v>1670.8</v>
      </c>
      <c r="E211" s="40">
        <f t="shared" si="37"/>
        <v>2274</v>
      </c>
      <c r="F211" s="40">
        <f t="shared" si="37"/>
        <v>1482.8000000000002</v>
      </c>
      <c r="G211" s="41">
        <f t="shared" si="31"/>
        <v>-791.19999999999982</v>
      </c>
      <c r="H211" s="41">
        <f t="shared" si="32"/>
        <v>65.206684256816189</v>
      </c>
    </row>
    <row r="212" spans="1:15" ht="24.75" customHeight="1">
      <c r="A212" s="36"/>
      <c r="B212" s="74" t="s">
        <v>203</v>
      </c>
      <c r="C212" s="58"/>
      <c r="D212" s="18">
        <v>1670.8</v>
      </c>
      <c r="E212" s="18">
        <v>2274</v>
      </c>
      <c r="F212" s="18">
        <f>1922.3-439.9+0.4</f>
        <v>1482.8000000000002</v>
      </c>
      <c r="G212" s="15">
        <f t="shared" si="31"/>
        <v>-791.19999999999982</v>
      </c>
      <c r="H212" s="15">
        <f t="shared" si="32"/>
        <v>65.206684256816189</v>
      </c>
      <c r="I212" s="20"/>
    </row>
    <row r="213" spans="1:15" ht="27.75" customHeight="1">
      <c r="A213" s="36" t="s">
        <v>324</v>
      </c>
      <c r="B213" s="198" t="s">
        <v>92</v>
      </c>
      <c r="C213" s="58">
        <v>1020</v>
      </c>
      <c r="D213" s="14">
        <f t="shared" ref="D213:F214" si="38">D214</f>
        <v>293.89999999999998</v>
      </c>
      <c r="E213" s="14">
        <f t="shared" si="38"/>
        <v>476</v>
      </c>
      <c r="F213" s="14">
        <f t="shared" si="38"/>
        <v>920.1</v>
      </c>
      <c r="G213" s="19">
        <f t="shared" si="31"/>
        <v>444.1</v>
      </c>
      <c r="H213" s="19">
        <f t="shared" si="32"/>
        <v>193.29831932773109</v>
      </c>
    </row>
    <row r="214" spans="1:15" ht="27.75" customHeight="1">
      <c r="A214" s="66" t="s">
        <v>325</v>
      </c>
      <c r="B214" s="67" t="s">
        <v>4</v>
      </c>
      <c r="C214" s="39">
        <v>1024</v>
      </c>
      <c r="D214" s="40">
        <f t="shared" si="38"/>
        <v>293.89999999999998</v>
      </c>
      <c r="E214" s="40">
        <f t="shared" si="38"/>
        <v>476</v>
      </c>
      <c r="F214" s="40">
        <f t="shared" si="38"/>
        <v>920.1</v>
      </c>
      <c r="G214" s="41">
        <f t="shared" si="31"/>
        <v>444.1</v>
      </c>
      <c r="H214" s="41">
        <f t="shared" si="32"/>
        <v>193.29831932773109</v>
      </c>
    </row>
    <row r="215" spans="1:15" ht="27.75" customHeight="1">
      <c r="A215" s="23"/>
      <c r="B215" s="74" t="s">
        <v>228</v>
      </c>
      <c r="C215" s="4"/>
      <c r="D215" s="75">
        <v>293.89999999999998</v>
      </c>
      <c r="E215" s="75">
        <v>476</v>
      </c>
      <c r="F215" s="75">
        <f>480.6+439.9-0.4</f>
        <v>920.1</v>
      </c>
      <c r="G215" s="23">
        <f t="shared" si="31"/>
        <v>444.1</v>
      </c>
      <c r="H215" s="78">
        <f t="shared" si="32"/>
        <v>193.29831932773109</v>
      </c>
    </row>
    <row r="216" spans="1:15" ht="63.75" customHeight="1">
      <c r="B216" s="76" t="s">
        <v>212</v>
      </c>
      <c r="C216" s="27"/>
      <c r="D216" s="225"/>
      <c r="E216" s="225"/>
      <c r="F216" s="218" t="s">
        <v>185</v>
      </c>
      <c r="G216" s="218"/>
      <c r="H216" s="218"/>
    </row>
    <row r="217" spans="1:15" ht="34.5" customHeight="1">
      <c r="B217" s="201" t="s">
        <v>60</v>
      </c>
      <c r="C217" s="189"/>
      <c r="D217" s="226" t="s">
        <v>66</v>
      </c>
      <c r="E217" s="226"/>
      <c r="F217" s="228" t="s">
        <v>17</v>
      </c>
      <c r="G217" s="228"/>
      <c r="H217" s="228"/>
    </row>
    <row r="218" spans="1:15" ht="29.25" customHeight="1">
      <c r="B218" s="7"/>
      <c r="D218" s="104"/>
      <c r="E218" s="6"/>
      <c r="F218" s="6"/>
    </row>
    <row r="219" spans="1:15" ht="35.25" customHeight="1">
      <c r="B219" s="7"/>
      <c r="D219" s="104"/>
      <c r="E219" s="6"/>
      <c r="F219" s="6"/>
    </row>
    <row r="220" spans="1:15" ht="35.25" customHeight="1">
      <c r="B220" s="7"/>
      <c r="D220" s="104"/>
      <c r="E220" s="6"/>
      <c r="F220" s="6"/>
    </row>
    <row r="221" spans="1:15" s="5" customFormat="1" ht="39" customHeight="1">
      <c r="A221" s="2"/>
      <c r="B221" s="7"/>
      <c r="C221" s="199"/>
      <c r="D221" s="104"/>
      <c r="E221" s="6"/>
      <c r="F221" s="6"/>
      <c r="G221" s="2"/>
      <c r="H221" s="2"/>
      <c r="J221" s="85"/>
      <c r="O221" s="77"/>
    </row>
    <row r="222" spans="1:15" s="5" customFormat="1" ht="32.25" customHeight="1">
      <c r="A222" s="2"/>
      <c r="B222" s="7"/>
      <c r="C222" s="199"/>
      <c r="D222" s="104"/>
      <c r="E222" s="6"/>
      <c r="F222" s="6"/>
      <c r="G222" s="2"/>
      <c r="H222" s="2"/>
      <c r="J222" s="85"/>
      <c r="O222" s="77"/>
    </row>
    <row r="223" spans="1:15" s="5" customFormat="1" ht="31.5" customHeight="1">
      <c r="A223" s="2"/>
      <c r="B223" s="7"/>
      <c r="C223" s="199"/>
      <c r="D223" s="104"/>
      <c r="E223" s="6"/>
      <c r="F223" s="6"/>
      <c r="G223" s="2"/>
      <c r="H223" s="2"/>
      <c r="J223" s="85"/>
      <c r="O223" s="77"/>
    </row>
    <row r="224" spans="1:15" s="5" customFormat="1" ht="31.5" customHeight="1">
      <c r="A224" s="2"/>
      <c r="B224" s="7"/>
      <c r="C224" s="199"/>
      <c r="D224" s="104"/>
      <c r="E224" s="6"/>
      <c r="F224" s="6"/>
      <c r="G224" s="2"/>
      <c r="H224" s="2"/>
      <c r="J224" s="85"/>
      <c r="O224" s="77"/>
    </row>
    <row r="225" spans="1:15" s="5" customFormat="1" ht="29.25" customHeight="1">
      <c r="A225" s="2"/>
      <c r="B225" s="7"/>
      <c r="C225" s="199"/>
      <c r="D225" s="104"/>
      <c r="E225" s="6"/>
      <c r="F225" s="6"/>
      <c r="G225" s="2"/>
      <c r="H225" s="2"/>
      <c r="J225" s="85"/>
      <c r="O225" s="77"/>
    </row>
    <row r="226" spans="1:15" s="5" customFormat="1" ht="35.25" customHeight="1">
      <c r="A226" s="2"/>
      <c r="B226" s="7"/>
      <c r="C226" s="199"/>
      <c r="D226" s="104"/>
      <c r="E226" s="6"/>
      <c r="F226" s="6"/>
      <c r="G226" s="2"/>
      <c r="H226" s="2"/>
      <c r="J226" s="85"/>
      <c r="O226" s="77"/>
    </row>
    <row r="227" spans="1:15" s="5" customFormat="1" ht="41.25" customHeight="1">
      <c r="A227" s="2"/>
      <c r="B227" s="7"/>
      <c r="C227" s="199"/>
      <c r="D227" s="104"/>
      <c r="E227" s="6"/>
      <c r="F227" s="6"/>
      <c r="G227" s="2"/>
      <c r="H227" s="2"/>
      <c r="J227" s="85"/>
      <c r="O227" s="77"/>
    </row>
    <row r="228" spans="1:15" s="5" customFormat="1" ht="35.25" customHeight="1">
      <c r="A228" s="2"/>
      <c r="B228" s="7"/>
      <c r="C228" s="199"/>
      <c r="D228" s="104"/>
      <c r="E228" s="6"/>
      <c r="F228" s="6"/>
      <c r="G228" s="2"/>
      <c r="H228" s="2"/>
      <c r="J228" s="85"/>
      <c r="O228" s="77"/>
    </row>
    <row r="229" spans="1:15" s="5" customFormat="1" ht="41.25" customHeight="1">
      <c r="A229" s="2"/>
      <c r="B229" s="7"/>
      <c r="C229" s="199"/>
      <c r="D229" s="104"/>
      <c r="E229" s="6"/>
      <c r="F229" s="6"/>
      <c r="G229" s="2"/>
      <c r="H229" s="2"/>
      <c r="J229" s="85"/>
      <c r="O229" s="77"/>
    </row>
    <row r="230" spans="1:15" s="5" customFormat="1" ht="37.5" customHeight="1">
      <c r="A230" s="2"/>
      <c r="B230" s="7"/>
      <c r="C230" s="199"/>
      <c r="D230" s="104"/>
      <c r="E230" s="6"/>
      <c r="F230" s="6"/>
      <c r="G230" s="2"/>
      <c r="H230" s="2"/>
      <c r="J230" s="85"/>
      <c r="O230" s="77"/>
    </row>
    <row r="231" spans="1:15" s="5" customFormat="1" ht="37.5" customHeight="1">
      <c r="A231" s="2"/>
      <c r="B231" s="7"/>
      <c r="C231" s="199"/>
      <c r="D231" s="104"/>
      <c r="E231" s="6"/>
      <c r="F231" s="6"/>
      <c r="G231" s="2"/>
      <c r="H231" s="2"/>
      <c r="J231" s="85"/>
      <c r="O231" s="77"/>
    </row>
    <row r="232" spans="1:15" s="5" customFormat="1" ht="39" customHeight="1">
      <c r="A232" s="2"/>
      <c r="B232" s="7"/>
      <c r="C232" s="199"/>
      <c r="D232" s="104"/>
      <c r="E232" s="6"/>
      <c r="F232" s="6"/>
      <c r="G232" s="2"/>
      <c r="H232" s="2"/>
      <c r="J232" s="85"/>
      <c r="O232" s="77"/>
    </row>
    <row r="233" spans="1:15" s="5" customFormat="1" ht="35.25" customHeight="1">
      <c r="A233" s="2"/>
      <c r="B233" s="7"/>
      <c r="C233" s="199"/>
      <c r="D233" s="104"/>
      <c r="E233" s="6"/>
      <c r="F233" s="6"/>
      <c r="G233" s="2"/>
      <c r="H233" s="2"/>
      <c r="J233" s="85"/>
      <c r="O233" s="77"/>
    </row>
    <row r="234" spans="1:15" s="5" customFormat="1" ht="37.5" customHeight="1">
      <c r="A234" s="2"/>
      <c r="B234" s="7"/>
      <c r="C234" s="199"/>
      <c r="D234" s="104"/>
      <c r="E234" s="6"/>
      <c r="F234" s="6"/>
      <c r="G234" s="2"/>
      <c r="H234" s="2"/>
      <c r="J234" s="85"/>
      <c r="O234" s="77"/>
    </row>
    <row r="235" spans="1:15" s="5" customFormat="1" ht="31.5" customHeight="1">
      <c r="A235" s="2"/>
      <c r="B235" s="7"/>
      <c r="C235" s="199"/>
      <c r="D235" s="104"/>
      <c r="E235" s="6"/>
      <c r="F235" s="6"/>
      <c r="G235" s="2"/>
      <c r="H235" s="2"/>
      <c r="J235" s="85"/>
      <c r="O235" s="77"/>
    </row>
    <row r="236" spans="1:15" s="5" customFormat="1" ht="31.5" customHeight="1">
      <c r="A236" s="2"/>
      <c r="B236" s="7"/>
      <c r="C236" s="199"/>
      <c r="D236" s="104"/>
      <c r="E236" s="6"/>
      <c r="F236" s="6"/>
      <c r="G236" s="2"/>
      <c r="H236" s="2"/>
      <c r="J236" s="85"/>
      <c r="O236" s="77"/>
    </row>
    <row r="237" spans="1:15">
      <c r="B237" s="7"/>
      <c r="D237" s="104"/>
      <c r="E237" s="6"/>
      <c r="F237" s="6"/>
    </row>
    <row r="238" spans="1:15" ht="24.75" customHeight="1">
      <c r="B238" s="7"/>
      <c r="D238" s="104"/>
      <c r="E238" s="6"/>
      <c r="F238" s="6"/>
    </row>
    <row r="239" spans="1:15">
      <c r="B239" s="7"/>
      <c r="D239" s="104"/>
      <c r="E239" s="6"/>
      <c r="F239" s="6"/>
    </row>
    <row r="240" spans="1:15">
      <c r="B240" s="7"/>
      <c r="D240" s="104"/>
      <c r="E240" s="6"/>
      <c r="F240" s="6"/>
    </row>
    <row r="241" spans="2:6">
      <c r="B241" s="7"/>
      <c r="D241" s="104"/>
      <c r="E241" s="6"/>
      <c r="F241" s="6"/>
    </row>
    <row r="242" spans="2:6">
      <c r="B242" s="7"/>
      <c r="D242" s="104"/>
      <c r="E242" s="6"/>
      <c r="F242" s="6"/>
    </row>
    <row r="243" spans="2:6">
      <c r="B243" s="7"/>
      <c r="D243" s="104"/>
      <c r="E243" s="6"/>
      <c r="F243" s="6"/>
    </row>
    <row r="244" spans="2:6">
      <c r="B244" s="7"/>
      <c r="D244" s="104"/>
      <c r="E244" s="6"/>
      <c r="F244" s="6"/>
    </row>
    <row r="245" spans="2:6">
      <c r="B245" s="7"/>
      <c r="D245" s="104"/>
      <c r="E245" s="6"/>
      <c r="F245" s="6"/>
    </row>
    <row r="246" spans="2:6">
      <c r="B246" s="7"/>
      <c r="D246" s="104"/>
      <c r="E246" s="6"/>
      <c r="F246" s="6"/>
    </row>
    <row r="247" spans="2:6">
      <c r="B247" s="7"/>
      <c r="D247" s="104"/>
      <c r="E247" s="6"/>
      <c r="F247" s="6"/>
    </row>
    <row r="248" spans="2:6">
      <c r="B248" s="7"/>
      <c r="D248" s="104"/>
      <c r="E248" s="6"/>
      <c r="F248" s="6"/>
    </row>
    <row r="249" spans="2:6">
      <c r="B249" s="7"/>
      <c r="D249" s="104"/>
      <c r="E249" s="6"/>
      <c r="F249" s="6"/>
    </row>
    <row r="250" spans="2:6">
      <c r="B250" s="7"/>
      <c r="D250" s="104"/>
      <c r="E250" s="6"/>
      <c r="F250" s="6"/>
    </row>
    <row r="251" spans="2:6">
      <c r="B251" s="7"/>
      <c r="D251" s="104"/>
      <c r="E251" s="6"/>
      <c r="F251" s="6"/>
    </row>
    <row r="252" spans="2:6">
      <c r="B252" s="7"/>
      <c r="D252" s="104"/>
      <c r="E252" s="6"/>
      <c r="F252" s="6"/>
    </row>
    <row r="253" spans="2:6">
      <c r="B253" s="7"/>
      <c r="D253" s="104"/>
      <c r="E253" s="6"/>
      <c r="F253" s="6"/>
    </row>
    <row r="254" spans="2:6">
      <c r="B254" s="7"/>
      <c r="D254" s="104"/>
      <c r="E254" s="6"/>
      <c r="F254" s="6"/>
    </row>
    <row r="255" spans="2:6">
      <c r="B255" s="7"/>
      <c r="D255" s="104"/>
      <c r="E255" s="6"/>
      <c r="F255" s="6"/>
    </row>
    <row r="256" spans="2:6">
      <c r="B256" s="7"/>
      <c r="D256" s="104"/>
      <c r="E256" s="6"/>
      <c r="F256" s="6"/>
    </row>
    <row r="257" spans="2:6">
      <c r="B257" s="7"/>
      <c r="D257" s="104"/>
      <c r="E257" s="6"/>
      <c r="F257" s="6"/>
    </row>
    <row r="258" spans="2:6">
      <c r="B258" s="7"/>
      <c r="D258" s="104"/>
      <c r="E258" s="6"/>
      <c r="F258" s="6"/>
    </row>
    <row r="259" spans="2:6">
      <c r="B259" s="7"/>
      <c r="D259" s="104"/>
      <c r="E259" s="6"/>
      <c r="F259" s="6"/>
    </row>
    <row r="260" spans="2:6">
      <c r="B260" s="7"/>
      <c r="D260" s="104"/>
      <c r="E260" s="6"/>
      <c r="F260" s="6"/>
    </row>
    <row r="261" spans="2:6">
      <c r="B261" s="7"/>
      <c r="D261" s="104"/>
      <c r="E261" s="6"/>
      <c r="F261" s="6"/>
    </row>
    <row r="262" spans="2:6">
      <c r="B262" s="7"/>
      <c r="D262" s="104"/>
      <c r="E262" s="6"/>
      <c r="F262" s="6"/>
    </row>
    <row r="263" spans="2:6">
      <c r="B263" s="7"/>
      <c r="D263" s="104"/>
      <c r="E263" s="6"/>
      <c r="F263" s="6"/>
    </row>
    <row r="264" spans="2:6">
      <c r="B264" s="7"/>
      <c r="D264" s="104"/>
      <c r="E264" s="6"/>
      <c r="F264" s="6"/>
    </row>
    <row r="265" spans="2:6">
      <c r="B265" s="7"/>
      <c r="D265" s="104"/>
      <c r="E265" s="6"/>
      <c r="F265" s="6"/>
    </row>
    <row r="266" spans="2:6">
      <c r="B266" s="7"/>
      <c r="D266" s="104"/>
      <c r="E266" s="6"/>
      <c r="F266" s="6"/>
    </row>
    <row r="267" spans="2:6">
      <c r="B267" s="7"/>
      <c r="D267" s="104"/>
      <c r="E267" s="6"/>
      <c r="F267" s="6"/>
    </row>
    <row r="268" spans="2:6">
      <c r="B268" s="7"/>
      <c r="D268" s="104"/>
      <c r="E268" s="6"/>
      <c r="F268" s="6"/>
    </row>
    <row r="269" spans="2:6">
      <c r="B269" s="7"/>
      <c r="D269" s="104"/>
      <c r="E269" s="6"/>
      <c r="F269" s="6"/>
    </row>
    <row r="270" spans="2:6">
      <c r="B270" s="7"/>
      <c r="D270" s="104"/>
      <c r="E270" s="6"/>
      <c r="F270" s="6"/>
    </row>
    <row r="271" spans="2:6">
      <c r="B271" s="7"/>
      <c r="D271" s="104"/>
      <c r="E271" s="6"/>
      <c r="F271" s="6"/>
    </row>
    <row r="272" spans="2:6">
      <c r="B272" s="7"/>
    </row>
    <row r="273" spans="2:2">
      <c r="B273" s="8"/>
    </row>
    <row r="274" spans="2:2">
      <c r="B274" s="8"/>
    </row>
    <row r="275" spans="2:2">
      <c r="B275" s="8"/>
    </row>
    <row r="276" spans="2:2">
      <c r="B276" s="8"/>
    </row>
    <row r="277" spans="2:2">
      <c r="B277" s="8"/>
    </row>
    <row r="278" spans="2:2">
      <c r="B278" s="8"/>
    </row>
    <row r="279" spans="2:2">
      <c r="B279" s="8"/>
    </row>
    <row r="280" spans="2:2">
      <c r="B280" s="8"/>
    </row>
    <row r="281" spans="2:2">
      <c r="B281" s="8"/>
    </row>
    <row r="282" spans="2:2">
      <c r="B282" s="8"/>
    </row>
    <row r="283" spans="2:2">
      <c r="B283" s="8"/>
    </row>
    <row r="284" spans="2:2">
      <c r="B284" s="8"/>
    </row>
    <row r="285" spans="2:2">
      <c r="B285" s="8"/>
    </row>
    <row r="286" spans="2:2">
      <c r="B286" s="8"/>
    </row>
    <row r="287" spans="2:2">
      <c r="B287" s="8"/>
    </row>
    <row r="288" spans="2:2">
      <c r="B288" s="8"/>
    </row>
    <row r="289" spans="2:2">
      <c r="B289" s="8"/>
    </row>
    <row r="290" spans="2:2">
      <c r="B290" s="8"/>
    </row>
    <row r="291" spans="2:2">
      <c r="B291" s="8"/>
    </row>
    <row r="292" spans="2:2">
      <c r="B292" s="8"/>
    </row>
    <row r="293" spans="2:2">
      <c r="B293" s="8"/>
    </row>
    <row r="294" spans="2:2">
      <c r="B294" s="8"/>
    </row>
    <row r="295" spans="2:2">
      <c r="B295" s="8"/>
    </row>
    <row r="296" spans="2:2">
      <c r="B296" s="8"/>
    </row>
    <row r="297" spans="2:2">
      <c r="B297" s="8"/>
    </row>
    <row r="298" spans="2:2">
      <c r="B298" s="8"/>
    </row>
    <row r="299" spans="2:2">
      <c r="B299" s="8"/>
    </row>
    <row r="300" spans="2:2">
      <c r="B300" s="8"/>
    </row>
    <row r="301" spans="2:2">
      <c r="B301" s="8"/>
    </row>
    <row r="302" spans="2:2">
      <c r="B302" s="8"/>
    </row>
    <row r="303" spans="2:2">
      <c r="B303" s="8"/>
    </row>
    <row r="304" spans="2:2">
      <c r="B304" s="8"/>
    </row>
    <row r="305" spans="2:2">
      <c r="B305" s="8"/>
    </row>
    <row r="306" spans="2:2">
      <c r="B306" s="8"/>
    </row>
    <row r="307" spans="2:2">
      <c r="B307" s="8"/>
    </row>
    <row r="308" spans="2:2">
      <c r="B308" s="8"/>
    </row>
    <row r="309" spans="2:2">
      <c r="B309" s="8"/>
    </row>
    <row r="310" spans="2:2">
      <c r="B310" s="8"/>
    </row>
    <row r="311" spans="2:2">
      <c r="B311" s="8"/>
    </row>
    <row r="312" spans="2:2">
      <c r="B312" s="8"/>
    </row>
    <row r="313" spans="2:2">
      <c r="B313" s="8"/>
    </row>
    <row r="314" spans="2:2">
      <c r="B314" s="8"/>
    </row>
    <row r="315" spans="2:2">
      <c r="B315" s="8"/>
    </row>
    <row r="316" spans="2:2">
      <c r="B316" s="8"/>
    </row>
    <row r="317" spans="2:2">
      <c r="B317" s="8"/>
    </row>
    <row r="318" spans="2:2">
      <c r="B318" s="8"/>
    </row>
    <row r="319" spans="2:2">
      <c r="B319" s="8"/>
    </row>
    <row r="320" spans="2:2">
      <c r="B320" s="8"/>
    </row>
    <row r="321" spans="2:2">
      <c r="B321" s="8"/>
    </row>
    <row r="322" spans="2:2">
      <c r="B322" s="8"/>
    </row>
    <row r="323" spans="2:2">
      <c r="B323" s="8"/>
    </row>
    <row r="324" spans="2:2">
      <c r="B324" s="8"/>
    </row>
    <row r="325" spans="2:2">
      <c r="B325" s="8"/>
    </row>
    <row r="326" spans="2:2">
      <c r="B326" s="8"/>
    </row>
    <row r="327" spans="2:2">
      <c r="B327" s="8"/>
    </row>
    <row r="328" spans="2:2">
      <c r="B328" s="8"/>
    </row>
    <row r="329" spans="2:2">
      <c r="B329" s="8"/>
    </row>
    <row r="330" spans="2:2">
      <c r="B330" s="8"/>
    </row>
    <row r="331" spans="2:2">
      <c r="B331" s="8"/>
    </row>
    <row r="332" spans="2:2">
      <c r="B332" s="8"/>
    </row>
    <row r="333" spans="2:2">
      <c r="B333" s="8"/>
    </row>
    <row r="334" spans="2:2">
      <c r="B334" s="8"/>
    </row>
    <row r="335" spans="2:2">
      <c r="B335" s="8"/>
    </row>
    <row r="336" spans="2:2">
      <c r="B336" s="8"/>
    </row>
    <row r="337" spans="2:2">
      <c r="B337" s="8"/>
    </row>
    <row r="338" spans="2:2">
      <c r="B338" s="8"/>
    </row>
    <row r="339" spans="2:2">
      <c r="B339" s="8"/>
    </row>
    <row r="340" spans="2:2">
      <c r="B340" s="8"/>
    </row>
    <row r="341" spans="2:2">
      <c r="B341" s="8"/>
    </row>
    <row r="342" spans="2:2">
      <c r="B342" s="8"/>
    </row>
    <row r="343" spans="2:2">
      <c r="B343" s="8"/>
    </row>
    <row r="344" spans="2:2">
      <c r="B344" s="8"/>
    </row>
    <row r="345" spans="2:2">
      <c r="B345" s="8"/>
    </row>
    <row r="346" spans="2:2">
      <c r="B346" s="8"/>
    </row>
    <row r="347" spans="2:2">
      <c r="B347" s="8"/>
    </row>
    <row r="348" spans="2:2">
      <c r="B348" s="8"/>
    </row>
    <row r="349" spans="2:2">
      <c r="B349" s="8"/>
    </row>
    <row r="350" spans="2:2">
      <c r="B350" s="8"/>
    </row>
    <row r="351" spans="2:2">
      <c r="B351" s="8"/>
    </row>
    <row r="352" spans="2:2">
      <c r="B352" s="8"/>
    </row>
    <row r="353" spans="2:2">
      <c r="B353" s="8"/>
    </row>
    <row r="354" spans="2:2">
      <c r="B354" s="8"/>
    </row>
    <row r="355" spans="2:2">
      <c r="B355" s="8"/>
    </row>
    <row r="356" spans="2:2">
      <c r="B356" s="8"/>
    </row>
    <row r="357" spans="2:2">
      <c r="B357" s="8"/>
    </row>
    <row r="358" spans="2:2">
      <c r="B358" s="8"/>
    </row>
    <row r="359" spans="2:2">
      <c r="B359" s="8"/>
    </row>
    <row r="360" spans="2:2">
      <c r="B360" s="8"/>
    </row>
    <row r="361" spans="2:2">
      <c r="B361" s="8"/>
    </row>
    <row r="362" spans="2:2">
      <c r="B362" s="8"/>
    </row>
    <row r="363" spans="2:2">
      <c r="B363" s="8"/>
    </row>
    <row r="364" spans="2:2">
      <c r="B364" s="8"/>
    </row>
    <row r="365" spans="2:2">
      <c r="B365" s="8"/>
    </row>
    <row r="366" spans="2:2">
      <c r="B366" s="8"/>
    </row>
    <row r="367" spans="2:2">
      <c r="B367" s="8"/>
    </row>
    <row r="368" spans="2:2">
      <c r="B368" s="8"/>
    </row>
    <row r="369" spans="2:2">
      <c r="B369" s="8"/>
    </row>
    <row r="370" spans="2:2">
      <c r="B370" s="8"/>
    </row>
    <row r="371" spans="2:2">
      <c r="B371" s="8"/>
    </row>
    <row r="372" spans="2:2">
      <c r="B372" s="8"/>
    </row>
    <row r="373" spans="2:2">
      <c r="B373" s="8"/>
    </row>
    <row r="374" spans="2:2">
      <c r="B374" s="8"/>
    </row>
    <row r="375" spans="2:2">
      <c r="B375" s="8"/>
    </row>
    <row r="376" spans="2:2">
      <c r="B376" s="8"/>
    </row>
    <row r="377" spans="2:2">
      <c r="B377" s="8"/>
    </row>
    <row r="378" spans="2:2">
      <c r="B378" s="8"/>
    </row>
    <row r="379" spans="2:2">
      <c r="B379" s="8"/>
    </row>
    <row r="380" spans="2:2">
      <c r="B380" s="8"/>
    </row>
    <row r="381" spans="2:2">
      <c r="B381" s="8"/>
    </row>
    <row r="382" spans="2:2">
      <c r="B382" s="8"/>
    </row>
    <row r="383" spans="2:2">
      <c r="B383" s="8"/>
    </row>
    <row r="384" spans="2:2">
      <c r="B384" s="8"/>
    </row>
    <row r="385" spans="2:2">
      <c r="B385" s="8"/>
    </row>
    <row r="386" spans="2:2">
      <c r="B386" s="8"/>
    </row>
    <row r="387" spans="2:2">
      <c r="B387" s="8"/>
    </row>
    <row r="388" spans="2:2">
      <c r="B388" s="8"/>
    </row>
    <row r="389" spans="2:2">
      <c r="B389" s="8"/>
    </row>
    <row r="390" spans="2:2">
      <c r="B390" s="8"/>
    </row>
    <row r="391" spans="2:2">
      <c r="B391" s="8"/>
    </row>
    <row r="392" spans="2:2">
      <c r="B392" s="8"/>
    </row>
    <row r="393" spans="2:2">
      <c r="B393" s="8"/>
    </row>
    <row r="394" spans="2:2">
      <c r="B394" s="8"/>
    </row>
    <row r="395" spans="2:2">
      <c r="B395" s="8"/>
    </row>
    <row r="396" spans="2:2">
      <c r="B396" s="8"/>
    </row>
    <row r="397" spans="2:2">
      <c r="B397" s="8"/>
    </row>
    <row r="398" spans="2:2">
      <c r="B398" s="8"/>
    </row>
    <row r="399" spans="2:2">
      <c r="B399" s="8"/>
    </row>
    <row r="400" spans="2:2">
      <c r="B400" s="8"/>
    </row>
    <row r="401" spans="2:2">
      <c r="B401" s="8"/>
    </row>
    <row r="402" spans="2:2">
      <c r="B402" s="8"/>
    </row>
    <row r="403" spans="2:2">
      <c r="B403" s="8"/>
    </row>
    <row r="404" spans="2:2">
      <c r="B404" s="8"/>
    </row>
    <row r="405" spans="2:2">
      <c r="B405" s="8"/>
    </row>
    <row r="406" spans="2:2">
      <c r="B406" s="8"/>
    </row>
    <row r="407" spans="2:2">
      <c r="B407" s="8"/>
    </row>
    <row r="408" spans="2:2">
      <c r="B408" s="8"/>
    </row>
    <row r="409" spans="2:2">
      <c r="B409" s="8"/>
    </row>
    <row r="410" spans="2:2">
      <c r="B410" s="8"/>
    </row>
    <row r="411" spans="2:2">
      <c r="B411" s="8"/>
    </row>
    <row r="412" spans="2:2">
      <c r="B412" s="8"/>
    </row>
    <row r="413" spans="2:2">
      <c r="B413" s="8"/>
    </row>
    <row r="414" spans="2:2">
      <c r="B414" s="8"/>
    </row>
    <row r="415" spans="2:2">
      <c r="B415" s="8"/>
    </row>
    <row r="416" spans="2:2">
      <c r="B416" s="8"/>
    </row>
    <row r="417" spans="2:2">
      <c r="B417" s="8"/>
    </row>
    <row r="418" spans="2:2">
      <c r="B418" s="8"/>
    </row>
    <row r="419" spans="2:2">
      <c r="B419" s="8"/>
    </row>
    <row r="420" spans="2:2">
      <c r="B420" s="8"/>
    </row>
    <row r="421" spans="2:2">
      <c r="B421" s="8"/>
    </row>
    <row r="422" spans="2:2">
      <c r="B422" s="8"/>
    </row>
    <row r="423" spans="2:2">
      <c r="B423" s="8"/>
    </row>
    <row r="424" spans="2:2">
      <c r="B424" s="8"/>
    </row>
    <row r="425" spans="2:2">
      <c r="B425" s="8"/>
    </row>
    <row r="426" spans="2:2">
      <c r="B426" s="8"/>
    </row>
    <row r="427" spans="2:2">
      <c r="B427" s="8"/>
    </row>
    <row r="428" spans="2:2">
      <c r="B428" s="8"/>
    </row>
    <row r="429" spans="2:2">
      <c r="B429" s="8"/>
    </row>
    <row r="430" spans="2:2">
      <c r="B430" s="8"/>
    </row>
    <row r="431" spans="2:2">
      <c r="B431" s="8"/>
    </row>
    <row r="432" spans="2:2">
      <c r="B432" s="8"/>
    </row>
    <row r="433" spans="2:2">
      <c r="B433" s="8"/>
    </row>
    <row r="434" spans="2:2">
      <c r="B434" s="8"/>
    </row>
    <row r="435" spans="2:2">
      <c r="B435" s="8"/>
    </row>
    <row r="436" spans="2:2">
      <c r="B436" s="8"/>
    </row>
    <row r="437" spans="2:2">
      <c r="B437" s="8"/>
    </row>
    <row r="438" spans="2:2">
      <c r="B438" s="8"/>
    </row>
    <row r="439" spans="2:2">
      <c r="B439" s="8"/>
    </row>
  </sheetData>
  <mergeCells count="6">
    <mergeCell ref="D216:E216"/>
    <mergeCell ref="D217:E217"/>
    <mergeCell ref="B2:H2"/>
    <mergeCell ref="A6:B6"/>
    <mergeCell ref="F216:H216"/>
    <mergeCell ref="F217:H217"/>
  </mergeCells>
  <pageMargins left="0.39370078740157483" right="0.39370078740157483" top="0.78740157480314965" bottom="0.39370078740157483" header="0.31496062992125984" footer="0.31496062992125984"/>
  <pageSetup paperSize="9" scale="65" fitToHeight="10" orientation="landscape" r:id="rId1"/>
  <rowBreaks count="3" manualBreakCount="3">
    <brk id="44" max="7" man="1"/>
    <brk id="122" max="7" man="1"/>
    <brk id="180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327"/>
  <sheetViews>
    <sheetView view="pageBreakPreview" zoomScale="70" zoomScaleSheetLayoutView="70" workbookViewId="0">
      <selection activeCell="K10" sqref="K10"/>
    </sheetView>
  </sheetViews>
  <sheetFormatPr defaultRowHeight="18.75"/>
  <cols>
    <col min="1" max="1" width="60.28515625" style="2" customWidth="1"/>
    <col min="2" max="2" width="13.140625" style="199" customWidth="1"/>
    <col min="3" max="3" width="16.140625" style="199" customWidth="1"/>
    <col min="4" max="4" width="16.7109375" style="199" customWidth="1"/>
    <col min="5" max="5" width="16.140625" style="199" customWidth="1"/>
    <col min="6" max="6" width="16" style="199" customWidth="1"/>
    <col min="7" max="7" width="16.42578125" style="109" customWidth="1"/>
    <col min="8" max="8" width="18" style="2" bestFit="1" customWidth="1"/>
    <col min="9" max="16384" width="9.140625" style="2"/>
  </cols>
  <sheetData>
    <row r="1" spans="1:8" s="105" customFormat="1" ht="27.75" customHeight="1">
      <c r="A1" s="220" t="s">
        <v>103</v>
      </c>
      <c r="B1" s="220"/>
      <c r="C1" s="220"/>
      <c r="D1" s="220"/>
      <c r="E1" s="220"/>
      <c r="F1" s="220"/>
      <c r="G1" s="106"/>
    </row>
    <row r="2" spans="1:8" ht="19.5" customHeight="1">
      <c r="A2" s="200"/>
      <c r="B2" s="3"/>
      <c r="C2" s="200"/>
      <c r="D2" s="200"/>
      <c r="E2" s="200"/>
      <c r="F2" s="3"/>
      <c r="G2" s="107" t="s">
        <v>65</v>
      </c>
    </row>
    <row r="3" spans="1:8" ht="64.5" customHeight="1">
      <c r="A3" s="4" t="s">
        <v>23</v>
      </c>
      <c r="B3" s="12" t="s">
        <v>5</v>
      </c>
      <c r="C3" s="12" t="s">
        <v>413</v>
      </c>
      <c r="D3" s="12" t="s">
        <v>330</v>
      </c>
      <c r="E3" s="12" t="s">
        <v>329</v>
      </c>
      <c r="F3" s="102" t="s">
        <v>114</v>
      </c>
      <c r="G3" s="43" t="s">
        <v>115</v>
      </c>
    </row>
    <row r="4" spans="1:8" ht="24.75" customHeight="1">
      <c r="A4" s="4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6">
        <v>7</v>
      </c>
    </row>
    <row r="5" spans="1:8" ht="44.25" customHeight="1">
      <c r="A5" s="198" t="s">
        <v>13</v>
      </c>
      <c r="B5" s="166">
        <v>4000</v>
      </c>
      <c r="C5" s="14">
        <f>C6+C31+C100</f>
        <v>5928.5</v>
      </c>
      <c r="D5" s="14">
        <f>D6+D31+D100</f>
        <v>0</v>
      </c>
      <c r="E5" s="14">
        <f>E6+E31+E100</f>
        <v>2315.8999999999996</v>
      </c>
      <c r="F5" s="14">
        <f>E5-D5</f>
        <v>2315.8999999999996</v>
      </c>
      <c r="G5" s="252" t="e">
        <f>(E5/D5)*100</f>
        <v>#DIV/0!</v>
      </c>
      <c r="H5" s="20"/>
    </row>
    <row r="6" spans="1:8" ht="27.75" customHeight="1">
      <c r="A6" s="67" t="s">
        <v>0</v>
      </c>
      <c r="B6" s="64">
        <v>4020</v>
      </c>
      <c r="C6" s="40">
        <f>SUM(C7:C29)</f>
        <v>2220.8000000000002</v>
      </c>
      <c r="D6" s="40">
        <f>SUM(D7:D29)</f>
        <v>0</v>
      </c>
      <c r="E6" s="40">
        <f>SUM(E7:E30)</f>
        <v>1596.2</v>
      </c>
      <c r="F6" s="14">
        <f>E6-D6</f>
        <v>1596.2</v>
      </c>
      <c r="G6" s="253" t="e">
        <f>(E6/D6)*100</f>
        <v>#DIV/0!</v>
      </c>
    </row>
    <row r="7" spans="1:8" ht="40.5" customHeight="1">
      <c r="A7" s="74" t="s">
        <v>277</v>
      </c>
      <c r="B7" s="12"/>
      <c r="C7" s="18">
        <v>29.9</v>
      </c>
      <c r="D7" s="18"/>
      <c r="E7" s="18"/>
      <c r="F7" s="18">
        <f t="shared" ref="F7" si="0">E7-D7</f>
        <v>0</v>
      </c>
      <c r="G7" s="253" t="e">
        <f t="shared" ref="G7" si="1">(E7/D7)*100</f>
        <v>#DIV/0!</v>
      </c>
    </row>
    <row r="8" spans="1:8" ht="24.75" customHeight="1">
      <c r="A8" s="74" t="s">
        <v>278</v>
      </c>
      <c r="B8" s="64"/>
      <c r="C8" s="18">
        <v>195</v>
      </c>
      <c r="D8" s="40"/>
      <c r="E8" s="40"/>
      <c r="F8" s="14">
        <f t="shared" ref="F8:F71" si="2">E8-D8</f>
        <v>0</v>
      </c>
      <c r="G8" s="253" t="e">
        <f t="shared" ref="G8:G71" si="3">(E8/D8)*100</f>
        <v>#DIV/0!</v>
      </c>
    </row>
    <row r="9" spans="1:8" ht="40.5" customHeight="1">
      <c r="A9" s="74" t="s">
        <v>279</v>
      </c>
      <c r="B9" s="64"/>
      <c r="C9" s="18">
        <v>250.5</v>
      </c>
      <c r="D9" s="40"/>
      <c r="E9" s="40"/>
      <c r="F9" s="14">
        <f t="shared" si="2"/>
        <v>0</v>
      </c>
      <c r="G9" s="253" t="e">
        <f t="shared" si="3"/>
        <v>#DIV/0!</v>
      </c>
    </row>
    <row r="10" spans="1:8" ht="27.75" customHeight="1">
      <c r="A10" s="74" t="s">
        <v>280</v>
      </c>
      <c r="B10" s="64"/>
      <c r="C10" s="18">
        <v>42.1</v>
      </c>
      <c r="D10" s="40"/>
      <c r="E10" s="40"/>
      <c r="F10" s="14">
        <f t="shared" si="2"/>
        <v>0</v>
      </c>
      <c r="G10" s="253" t="e">
        <f t="shared" si="3"/>
        <v>#DIV/0!</v>
      </c>
    </row>
    <row r="11" spans="1:8" ht="24.75" customHeight="1">
      <c r="A11" s="74" t="s">
        <v>281</v>
      </c>
      <c r="B11" s="64"/>
      <c r="C11" s="18">
        <v>32.9</v>
      </c>
      <c r="D11" s="40"/>
      <c r="E11" s="40"/>
      <c r="F11" s="14">
        <f t="shared" si="2"/>
        <v>0</v>
      </c>
      <c r="G11" s="253" t="e">
        <f t="shared" si="3"/>
        <v>#DIV/0!</v>
      </c>
    </row>
    <row r="12" spans="1:8" ht="26.25" customHeight="1">
      <c r="A12" s="74" t="s">
        <v>282</v>
      </c>
      <c r="B12" s="64"/>
      <c r="C12" s="18">
        <v>48.7</v>
      </c>
      <c r="D12" s="40"/>
      <c r="E12" s="40"/>
      <c r="F12" s="14">
        <f t="shared" si="2"/>
        <v>0</v>
      </c>
      <c r="G12" s="253" t="e">
        <f t="shared" si="3"/>
        <v>#DIV/0!</v>
      </c>
    </row>
    <row r="13" spans="1:8" ht="67.5" customHeight="1">
      <c r="A13" s="74" t="s">
        <v>283</v>
      </c>
      <c r="B13" s="103"/>
      <c r="C13" s="18">
        <v>1621.7</v>
      </c>
      <c r="D13" s="40"/>
      <c r="E13" s="18"/>
      <c r="F13" s="14">
        <f t="shared" si="2"/>
        <v>0</v>
      </c>
      <c r="G13" s="253" t="e">
        <f t="shared" si="3"/>
        <v>#DIV/0!</v>
      </c>
    </row>
    <row r="14" spans="1:8" ht="26.25" customHeight="1">
      <c r="A14" s="254" t="s">
        <v>386</v>
      </c>
      <c r="B14" s="103"/>
      <c r="C14" s="18"/>
      <c r="D14" s="40"/>
      <c r="E14" s="18">
        <v>12.5</v>
      </c>
      <c r="F14" s="14">
        <f t="shared" si="2"/>
        <v>12.5</v>
      </c>
      <c r="G14" s="253" t="e">
        <f t="shared" si="3"/>
        <v>#DIV/0!</v>
      </c>
    </row>
    <row r="15" spans="1:8" ht="23.25" customHeight="1">
      <c r="A15" s="254" t="s">
        <v>368</v>
      </c>
      <c r="B15" s="103"/>
      <c r="C15" s="18"/>
      <c r="D15" s="40"/>
      <c r="E15" s="18">
        <v>30.6</v>
      </c>
      <c r="F15" s="14">
        <f t="shared" si="2"/>
        <v>30.6</v>
      </c>
      <c r="G15" s="253" t="e">
        <f t="shared" si="3"/>
        <v>#DIV/0!</v>
      </c>
    </row>
    <row r="16" spans="1:8" ht="30.75" customHeight="1">
      <c r="A16" s="254" t="s">
        <v>387</v>
      </c>
      <c r="B16" s="103"/>
      <c r="C16" s="18"/>
      <c r="D16" s="40"/>
      <c r="E16" s="18">
        <v>27.9</v>
      </c>
      <c r="F16" s="14">
        <f t="shared" si="2"/>
        <v>27.9</v>
      </c>
      <c r="G16" s="253" t="e">
        <f t="shared" si="3"/>
        <v>#DIV/0!</v>
      </c>
    </row>
    <row r="17" spans="1:8" ht="26.25" customHeight="1">
      <c r="A17" s="254" t="s">
        <v>388</v>
      </c>
      <c r="B17" s="103"/>
      <c r="C17" s="18"/>
      <c r="D17" s="40"/>
      <c r="E17" s="18">
        <v>118.4</v>
      </c>
      <c r="F17" s="14">
        <f t="shared" si="2"/>
        <v>118.4</v>
      </c>
      <c r="G17" s="253" t="e">
        <f t="shared" si="3"/>
        <v>#DIV/0!</v>
      </c>
    </row>
    <row r="18" spans="1:8" ht="27.75" customHeight="1">
      <c r="A18" s="254" t="s">
        <v>389</v>
      </c>
      <c r="B18" s="103"/>
      <c r="C18" s="18"/>
      <c r="D18" s="40"/>
      <c r="E18" s="18">
        <v>13.9</v>
      </c>
      <c r="F18" s="14">
        <f t="shared" si="2"/>
        <v>13.9</v>
      </c>
      <c r="G18" s="253" t="e">
        <f t="shared" si="3"/>
        <v>#DIV/0!</v>
      </c>
    </row>
    <row r="19" spans="1:8" ht="26.25" customHeight="1">
      <c r="A19" s="254" t="s">
        <v>390</v>
      </c>
      <c r="B19" s="103"/>
      <c r="C19" s="18"/>
      <c r="D19" s="40"/>
      <c r="E19" s="18">
        <v>41.8</v>
      </c>
      <c r="F19" s="14">
        <f t="shared" si="2"/>
        <v>41.8</v>
      </c>
      <c r="G19" s="253" t="e">
        <f t="shared" si="3"/>
        <v>#DIV/0!</v>
      </c>
    </row>
    <row r="20" spans="1:8" ht="30.75" customHeight="1">
      <c r="A20" s="254" t="s">
        <v>391</v>
      </c>
      <c r="B20" s="103"/>
      <c r="C20" s="18"/>
      <c r="D20" s="40"/>
      <c r="E20" s="18">
        <v>55.7</v>
      </c>
      <c r="F20" s="14">
        <f t="shared" si="2"/>
        <v>55.7</v>
      </c>
      <c r="G20" s="253" t="e">
        <f t="shared" si="3"/>
        <v>#DIV/0!</v>
      </c>
    </row>
    <row r="21" spans="1:8" ht="27.75" customHeight="1">
      <c r="A21" s="254" t="s">
        <v>392</v>
      </c>
      <c r="B21" s="103"/>
      <c r="C21" s="18"/>
      <c r="D21" s="40"/>
      <c r="E21" s="18">
        <v>33.4</v>
      </c>
      <c r="F21" s="14">
        <f t="shared" si="2"/>
        <v>33.4</v>
      </c>
      <c r="G21" s="253" t="e">
        <f t="shared" si="3"/>
        <v>#DIV/0!</v>
      </c>
    </row>
    <row r="22" spans="1:8" ht="28.5" customHeight="1">
      <c r="A22" s="254" t="s">
        <v>393</v>
      </c>
      <c r="B22" s="103"/>
      <c r="C22" s="18"/>
      <c r="D22" s="40"/>
      <c r="E22" s="18">
        <v>8.4</v>
      </c>
      <c r="F22" s="14">
        <f t="shared" si="2"/>
        <v>8.4</v>
      </c>
      <c r="G22" s="253" t="e">
        <f t="shared" si="3"/>
        <v>#DIV/0!</v>
      </c>
    </row>
    <row r="23" spans="1:8" ht="25.5" customHeight="1">
      <c r="A23" s="254" t="s">
        <v>394</v>
      </c>
      <c r="B23" s="103"/>
      <c r="C23" s="18"/>
      <c r="D23" s="40"/>
      <c r="E23" s="18">
        <v>75.2</v>
      </c>
      <c r="F23" s="14">
        <f t="shared" si="2"/>
        <v>75.2</v>
      </c>
      <c r="G23" s="253" t="e">
        <f t="shared" si="3"/>
        <v>#DIV/0!</v>
      </c>
    </row>
    <row r="24" spans="1:8" ht="25.5" customHeight="1">
      <c r="A24" s="254" t="s">
        <v>395</v>
      </c>
      <c r="B24" s="103"/>
      <c r="C24" s="18"/>
      <c r="D24" s="40"/>
      <c r="E24" s="18">
        <v>224.1</v>
      </c>
      <c r="F24" s="14">
        <f t="shared" si="2"/>
        <v>224.1</v>
      </c>
      <c r="G24" s="253" t="e">
        <f t="shared" si="3"/>
        <v>#DIV/0!</v>
      </c>
    </row>
    <row r="25" spans="1:8" ht="30.75" customHeight="1">
      <c r="A25" s="254" t="s">
        <v>396</v>
      </c>
      <c r="B25" s="103"/>
      <c r="C25" s="18"/>
      <c r="D25" s="40"/>
      <c r="E25" s="18">
        <v>98.7</v>
      </c>
      <c r="F25" s="14">
        <f t="shared" si="2"/>
        <v>98.7</v>
      </c>
      <c r="G25" s="253" t="e">
        <f t="shared" si="3"/>
        <v>#DIV/0!</v>
      </c>
    </row>
    <row r="26" spans="1:8" ht="41.25" customHeight="1">
      <c r="A26" s="254" t="s">
        <v>397</v>
      </c>
      <c r="B26" s="103"/>
      <c r="C26" s="18"/>
      <c r="D26" s="40"/>
      <c r="E26" s="18">
        <v>95</v>
      </c>
      <c r="F26" s="14">
        <f t="shared" si="2"/>
        <v>95</v>
      </c>
      <c r="G26" s="253" t="e">
        <f t="shared" si="3"/>
        <v>#DIV/0!</v>
      </c>
    </row>
    <row r="27" spans="1:8" ht="25.5" customHeight="1">
      <c r="A27" s="254" t="s">
        <v>398</v>
      </c>
      <c r="B27" s="103"/>
      <c r="C27" s="18"/>
      <c r="D27" s="40"/>
      <c r="E27" s="18">
        <v>93</v>
      </c>
      <c r="F27" s="14">
        <f t="shared" si="2"/>
        <v>93</v>
      </c>
      <c r="G27" s="253" t="e">
        <f t="shared" si="3"/>
        <v>#DIV/0!</v>
      </c>
    </row>
    <row r="28" spans="1:8" ht="24.75" customHeight="1">
      <c r="A28" s="254" t="s">
        <v>399</v>
      </c>
      <c r="B28" s="103"/>
      <c r="C28" s="18"/>
      <c r="D28" s="40"/>
      <c r="E28" s="18">
        <v>53.3</v>
      </c>
      <c r="F28" s="14">
        <f t="shared" si="2"/>
        <v>53.3</v>
      </c>
      <c r="G28" s="253" t="e">
        <f t="shared" si="3"/>
        <v>#DIV/0!</v>
      </c>
    </row>
    <row r="29" spans="1:8" ht="23.25" customHeight="1">
      <c r="A29" s="254" t="s">
        <v>400</v>
      </c>
      <c r="B29" s="103"/>
      <c r="C29" s="18"/>
      <c r="D29" s="40"/>
      <c r="E29" s="18">
        <v>46.5</v>
      </c>
      <c r="F29" s="14">
        <f t="shared" si="2"/>
        <v>46.5</v>
      </c>
      <c r="G29" s="253" t="e">
        <f t="shared" si="3"/>
        <v>#DIV/0!</v>
      </c>
    </row>
    <row r="30" spans="1:8" ht="50.25" customHeight="1">
      <c r="A30" s="254" t="s">
        <v>401</v>
      </c>
      <c r="B30" s="103"/>
      <c r="C30" s="18"/>
      <c r="D30" s="40"/>
      <c r="E30" s="18">
        <v>567.79999999999995</v>
      </c>
      <c r="F30" s="14">
        <f t="shared" si="2"/>
        <v>567.79999999999995</v>
      </c>
      <c r="G30" s="253" t="e">
        <f t="shared" si="3"/>
        <v>#DIV/0!</v>
      </c>
    </row>
    <row r="31" spans="1:8" s="5" customFormat="1" ht="38.25" customHeight="1">
      <c r="A31" s="67" t="s">
        <v>7</v>
      </c>
      <c r="B31" s="103">
        <v>4030</v>
      </c>
      <c r="C31" s="40">
        <f>SUM(C32:C99)</f>
        <v>49.8</v>
      </c>
      <c r="D31" s="40">
        <f>SUM(D32:D99)</f>
        <v>0</v>
      </c>
      <c r="E31" s="40">
        <f>SUM(E32:E99)</f>
        <v>480</v>
      </c>
      <c r="F31" s="14">
        <f t="shared" si="2"/>
        <v>480</v>
      </c>
      <c r="G31" s="252" t="e">
        <f t="shared" si="3"/>
        <v>#DIV/0!</v>
      </c>
      <c r="H31" s="25"/>
    </row>
    <row r="32" spans="1:8" s="5" customFormat="1" ht="26.25" customHeight="1">
      <c r="A32" s="23" t="s">
        <v>259</v>
      </c>
      <c r="B32" s="103"/>
      <c r="C32" s="18">
        <v>14.1</v>
      </c>
      <c r="D32" s="40"/>
      <c r="E32" s="18"/>
      <c r="F32" s="14">
        <f t="shared" si="2"/>
        <v>0</v>
      </c>
      <c r="G32" s="252" t="e">
        <f t="shared" si="3"/>
        <v>#DIV/0!</v>
      </c>
      <c r="H32" s="25"/>
    </row>
    <row r="33" spans="1:8" s="5" customFormat="1" ht="24.75" customHeight="1">
      <c r="A33" s="23" t="s">
        <v>260</v>
      </c>
      <c r="B33" s="103"/>
      <c r="C33" s="18">
        <v>8.1999999999999993</v>
      </c>
      <c r="D33" s="40"/>
      <c r="E33" s="18"/>
      <c r="F33" s="14">
        <f t="shared" si="2"/>
        <v>0</v>
      </c>
      <c r="G33" s="252" t="e">
        <f t="shared" si="3"/>
        <v>#DIV/0!</v>
      </c>
      <c r="H33" s="25"/>
    </row>
    <row r="34" spans="1:8" s="5" customFormat="1" ht="25.5" customHeight="1">
      <c r="A34" s="254" t="s">
        <v>261</v>
      </c>
      <c r="B34" s="103"/>
      <c r="C34" s="18">
        <v>0.3</v>
      </c>
      <c r="D34" s="40"/>
      <c r="E34" s="18"/>
      <c r="F34" s="14">
        <f t="shared" si="2"/>
        <v>0</v>
      </c>
      <c r="G34" s="252" t="e">
        <f t="shared" si="3"/>
        <v>#DIV/0!</v>
      </c>
      <c r="H34" s="25"/>
    </row>
    <row r="35" spans="1:8" s="5" customFormat="1" ht="28.5" customHeight="1">
      <c r="A35" s="254" t="s">
        <v>262</v>
      </c>
      <c r="B35" s="103"/>
      <c r="C35" s="18">
        <v>0.1</v>
      </c>
      <c r="D35" s="40"/>
      <c r="E35" s="18"/>
      <c r="F35" s="14">
        <f t="shared" si="2"/>
        <v>0</v>
      </c>
      <c r="G35" s="252" t="e">
        <f t="shared" si="3"/>
        <v>#DIV/0!</v>
      </c>
      <c r="H35" s="25"/>
    </row>
    <row r="36" spans="1:8" s="5" customFormat="1" ht="27.75" customHeight="1">
      <c r="A36" s="23" t="s">
        <v>285</v>
      </c>
      <c r="B36" s="103"/>
      <c r="C36" s="18">
        <v>1.6</v>
      </c>
      <c r="D36" s="40"/>
      <c r="E36" s="18"/>
      <c r="F36" s="14">
        <f t="shared" si="2"/>
        <v>0</v>
      </c>
      <c r="G36" s="252" t="e">
        <f t="shared" si="3"/>
        <v>#DIV/0!</v>
      </c>
      <c r="H36" s="25"/>
    </row>
    <row r="37" spans="1:8" s="5" customFormat="1" ht="23.25" customHeight="1">
      <c r="A37" s="23" t="s">
        <v>286</v>
      </c>
      <c r="B37" s="103"/>
      <c r="C37" s="18">
        <v>4.2</v>
      </c>
      <c r="D37" s="40"/>
      <c r="E37" s="18"/>
      <c r="F37" s="14">
        <f t="shared" si="2"/>
        <v>0</v>
      </c>
      <c r="G37" s="252" t="e">
        <f t="shared" si="3"/>
        <v>#DIV/0!</v>
      </c>
      <c r="H37" s="25"/>
    </row>
    <row r="38" spans="1:8" s="5" customFormat="1" ht="26.25" customHeight="1">
      <c r="A38" s="23" t="s">
        <v>287</v>
      </c>
      <c r="B38" s="103"/>
      <c r="C38" s="18">
        <v>1.2</v>
      </c>
      <c r="D38" s="40"/>
      <c r="E38" s="18"/>
      <c r="F38" s="14">
        <f t="shared" si="2"/>
        <v>0</v>
      </c>
      <c r="G38" s="252" t="e">
        <f t="shared" si="3"/>
        <v>#DIV/0!</v>
      </c>
      <c r="H38" s="25"/>
    </row>
    <row r="39" spans="1:8" s="5" customFormat="1" ht="23.25" customHeight="1">
      <c r="A39" s="23" t="s">
        <v>263</v>
      </c>
      <c r="B39" s="103"/>
      <c r="C39" s="18">
        <v>0.2</v>
      </c>
      <c r="D39" s="40"/>
      <c r="E39" s="18"/>
      <c r="F39" s="14">
        <f t="shared" si="2"/>
        <v>0</v>
      </c>
      <c r="G39" s="252" t="e">
        <f t="shared" si="3"/>
        <v>#DIV/0!</v>
      </c>
      <c r="H39" s="25"/>
    </row>
    <row r="40" spans="1:8" s="5" customFormat="1" ht="26.25" customHeight="1">
      <c r="A40" s="23" t="s">
        <v>264</v>
      </c>
      <c r="B40" s="103"/>
      <c r="C40" s="18">
        <v>0.5</v>
      </c>
      <c r="D40" s="40"/>
      <c r="E40" s="18"/>
      <c r="F40" s="14">
        <f t="shared" si="2"/>
        <v>0</v>
      </c>
      <c r="G40" s="252" t="e">
        <f t="shared" si="3"/>
        <v>#DIV/0!</v>
      </c>
      <c r="H40" s="25"/>
    </row>
    <row r="41" spans="1:8" s="5" customFormat="1" ht="40.5" customHeight="1">
      <c r="A41" s="254" t="s">
        <v>265</v>
      </c>
      <c r="B41" s="103"/>
      <c r="C41" s="18">
        <v>0.7</v>
      </c>
      <c r="D41" s="40"/>
      <c r="E41" s="18"/>
      <c r="F41" s="14">
        <f t="shared" si="2"/>
        <v>0</v>
      </c>
      <c r="G41" s="252" t="e">
        <f t="shared" si="3"/>
        <v>#DIV/0!</v>
      </c>
      <c r="H41" s="25"/>
    </row>
    <row r="42" spans="1:8" s="5" customFormat="1" ht="23.25" customHeight="1">
      <c r="A42" s="23" t="s">
        <v>266</v>
      </c>
      <c r="B42" s="103"/>
      <c r="C42" s="18">
        <v>1.9</v>
      </c>
      <c r="D42" s="40"/>
      <c r="E42" s="18"/>
      <c r="F42" s="14">
        <f t="shared" si="2"/>
        <v>0</v>
      </c>
      <c r="G42" s="252" t="e">
        <f t="shared" si="3"/>
        <v>#DIV/0!</v>
      </c>
      <c r="H42" s="25"/>
    </row>
    <row r="43" spans="1:8" s="5" customFormat="1" ht="28.5" customHeight="1">
      <c r="A43" s="23" t="s">
        <v>267</v>
      </c>
      <c r="B43" s="103"/>
      <c r="C43" s="18">
        <v>2.2000000000000002</v>
      </c>
      <c r="D43" s="40"/>
      <c r="E43" s="18"/>
      <c r="F43" s="14">
        <f t="shared" si="2"/>
        <v>0</v>
      </c>
      <c r="G43" s="252" t="e">
        <f t="shared" si="3"/>
        <v>#DIV/0!</v>
      </c>
      <c r="H43" s="25"/>
    </row>
    <row r="44" spans="1:8" s="5" customFormat="1" ht="32.25" customHeight="1">
      <c r="A44" s="23" t="s">
        <v>268</v>
      </c>
      <c r="B44" s="103"/>
      <c r="C44" s="18">
        <v>1.8</v>
      </c>
      <c r="D44" s="40"/>
      <c r="E44" s="18"/>
      <c r="F44" s="14">
        <f t="shared" si="2"/>
        <v>0</v>
      </c>
      <c r="G44" s="252" t="e">
        <f t="shared" si="3"/>
        <v>#DIV/0!</v>
      </c>
      <c r="H44" s="25"/>
    </row>
    <row r="45" spans="1:8" s="5" customFormat="1" ht="27.75" customHeight="1">
      <c r="A45" s="23" t="s">
        <v>269</v>
      </c>
      <c r="B45" s="103"/>
      <c r="C45" s="18">
        <v>1</v>
      </c>
      <c r="D45" s="40"/>
      <c r="E45" s="18"/>
      <c r="F45" s="14">
        <f t="shared" si="2"/>
        <v>0</v>
      </c>
      <c r="G45" s="252" t="e">
        <f t="shared" si="3"/>
        <v>#DIV/0!</v>
      </c>
      <c r="H45" s="25"/>
    </row>
    <row r="46" spans="1:8" s="5" customFormat="1" ht="24.75" customHeight="1">
      <c r="A46" s="23" t="s">
        <v>270</v>
      </c>
      <c r="B46" s="103"/>
      <c r="C46" s="18">
        <v>1.3</v>
      </c>
      <c r="D46" s="40"/>
      <c r="E46" s="18"/>
      <c r="F46" s="14">
        <f t="shared" si="2"/>
        <v>0</v>
      </c>
      <c r="G46" s="252" t="e">
        <f t="shared" si="3"/>
        <v>#DIV/0!</v>
      </c>
      <c r="H46" s="25"/>
    </row>
    <row r="47" spans="1:8" s="5" customFormat="1" ht="30.75" customHeight="1">
      <c r="A47" s="23" t="s">
        <v>271</v>
      </c>
      <c r="B47" s="103"/>
      <c r="C47" s="18">
        <v>0.4</v>
      </c>
      <c r="D47" s="40"/>
      <c r="E47" s="18"/>
      <c r="F47" s="14">
        <f t="shared" si="2"/>
        <v>0</v>
      </c>
      <c r="G47" s="252" t="e">
        <f t="shared" si="3"/>
        <v>#DIV/0!</v>
      </c>
      <c r="H47" s="25"/>
    </row>
    <row r="48" spans="1:8" s="5" customFormat="1" ht="28.5" customHeight="1">
      <c r="A48" s="23" t="s">
        <v>272</v>
      </c>
      <c r="B48" s="103"/>
      <c r="C48" s="18">
        <v>2.2999999999999998</v>
      </c>
      <c r="D48" s="40"/>
      <c r="E48" s="18"/>
      <c r="F48" s="14">
        <f t="shared" si="2"/>
        <v>0</v>
      </c>
      <c r="G48" s="252" t="e">
        <f t="shared" si="3"/>
        <v>#DIV/0!</v>
      </c>
      <c r="H48" s="25"/>
    </row>
    <row r="49" spans="1:8" s="5" customFormat="1" ht="24.75" customHeight="1">
      <c r="A49" s="23" t="s">
        <v>273</v>
      </c>
      <c r="B49" s="103"/>
      <c r="C49" s="18">
        <v>1.1000000000000001</v>
      </c>
      <c r="D49" s="40"/>
      <c r="E49" s="18"/>
      <c r="F49" s="14">
        <f t="shared" si="2"/>
        <v>0</v>
      </c>
      <c r="G49" s="252" t="e">
        <f t="shared" si="3"/>
        <v>#DIV/0!</v>
      </c>
      <c r="H49" s="25"/>
    </row>
    <row r="50" spans="1:8" s="5" customFormat="1" ht="49.5" customHeight="1">
      <c r="A50" s="254" t="s">
        <v>274</v>
      </c>
      <c r="B50" s="103"/>
      <c r="C50" s="18">
        <v>1.7</v>
      </c>
      <c r="D50" s="40"/>
      <c r="E50" s="18"/>
      <c r="F50" s="14">
        <f t="shared" si="2"/>
        <v>0</v>
      </c>
      <c r="G50" s="252" t="e">
        <f t="shared" si="3"/>
        <v>#DIV/0!</v>
      </c>
      <c r="H50" s="25"/>
    </row>
    <row r="51" spans="1:8" s="5" customFormat="1" ht="30" customHeight="1">
      <c r="A51" s="23" t="s">
        <v>275</v>
      </c>
      <c r="B51" s="103"/>
      <c r="C51" s="18">
        <v>2.1</v>
      </c>
      <c r="D51" s="40"/>
      <c r="E51" s="18"/>
      <c r="F51" s="14">
        <f t="shared" si="2"/>
        <v>0</v>
      </c>
      <c r="G51" s="252" t="e">
        <f t="shared" si="3"/>
        <v>#DIV/0!</v>
      </c>
      <c r="H51" s="25"/>
    </row>
    <row r="52" spans="1:8" s="5" customFormat="1" ht="26.25" customHeight="1">
      <c r="A52" s="23" t="s">
        <v>276</v>
      </c>
      <c r="B52" s="103"/>
      <c r="C52" s="18">
        <v>2.9</v>
      </c>
      <c r="D52" s="40"/>
      <c r="E52" s="18"/>
      <c r="F52" s="14">
        <f t="shared" si="2"/>
        <v>0</v>
      </c>
      <c r="G52" s="252" t="e">
        <f t="shared" si="3"/>
        <v>#DIV/0!</v>
      </c>
      <c r="H52" s="25"/>
    </row>
    <row r="53" spans="1:8" s="5" customFormat="1" ht="26.25" customHeight="1">
      <c r="A53" s="255" t="s">
        <v>384</v>
      </c>
      <c r="B53" s="103"/>
      <c r="C53" s="18"/>
      <c r="D53" s="40"/>
      <c r="E53" s="18">
        <v>97.9</v>
      </c>
      <c r="F53" s="14">
        <f t="shared" si="2"/>
        <v>97.9</v>
      </c>
      <c r="G53" s="252" t="e">
        <f t="shared" si="3"/>
        <v>#DIV/0!</v>
      </c>
      <c r="H53" s="25"/>
    </row>
    <row r="54" spans="1:8" s="5" customFormat="1" ht="48.75" customHeight="1">
      <c r="A54" s="256" t="s">
        <v>385</v>
      </c>
      <c r="B54" s="103"/>
      <c r="C54" s="18"/>
      <c r="D54" s="40"/>
      <c r="E54" s="18">
        <v>27.2</v>
      </c>
      <c r="F54" s="14">
        <f t="shared" si="2"/>
        <v>27.2</v>
      </c>
      <c r="G54" s="252" t="e">
        <f t="shared" si="3"/>
        <v>#DIV/0!</v>
      </c>
      <c r="H54" s="25"/>
    </row>
    <row r="55" spans="1:8" s="5" customFormat="1" ht="26.25" customHeight="1">
      <c r="A55" s="257" t="s">
        <v>339</v>
      </c>
      <c r="B55" s="103"/>
      <c r="C55" s="18"/>
      <c r="D55" s="40"/>
      <c r="E55" s="18">
        <v>14.5</v>
      </c>
      <c r="F55" s="14">
        <f t="shared" si="2"/>
        <v>14.5</v>
      </c>
      <c r="G55" s="252" t="e">
        <f t="shared" si="3"/>
        <v>#DIV/0!</v>
      </c>
      <c r="H55" s="25"/>
    </row>
    <row r="56" spans="1:8" s="5" customFormat="1" ht="26.25" customHeight="1">
      <c r="A56" s="255" t="s">
        <v>340</v>
      </c>
      <c r="B56" s="103"/>
      <c r="C56" s="18"/>
      <c r="D56" s="40"/>
      <c r="E56" s="18">
        <v>21.8</v>
      </c>
      <c r="F56" s="14">
        <f t="shared" si="2"/>
        <v>21.8</v>
      </c>
      <c r="G56" s="252" t="e">
        <f t="shared" si="3"/>
        <v>#DIV/0!</v>
      </c>
      <c r="H56" s="25"/>
    </row>
    <row r="57" spans="1:8" s="5" customFormat="1" ht="26.25" customHeight="1">
      <c r="A57" s="255" t="s">
        <v>341</v>
      </c>
      <c r="B57" s="103"/>
      <c r="C57" s="18"/>
      <c r="D57" s="40"/>
      <c r="E57" s="18">
        <v>5.7</v>
      </c>
      <c r="F57" s="14">
        <f t="shared" si="2"/>
        <v>5.7</v>
      </c>
      <c r="G57" s="252" t="e">
        <f t="shared" si="3"/>
        <v>#DIV/0!</v>
      </c>
      <c r="H57" s="25"/>
    </row>
    <row r="58" spans="1:8" s="5" customFormat="1" ht="26.25" customHeight="1">
      <c r="A58" s="255" t="s">
        <v>342</v>
      </c>
      <c r="B58" s="103"/>
      <c r="C58" s="18"/>
      <c r="D58" s="40"/>
      <c r="E58" s="18">
        <v>2.9</v>
      </c>
      <c r="F58" s="14">
        <f t="shared" si="2"/>
        <v>2.9</v>
      </c>
      <c r="G58" s="252" t="e">
        <f t="shared" si="3"/>
        <v>#DIV/0!</v>
      </c>
      <c r="H58" s="25"/>
    </row>
    <row r="59" spans="1:8" s="5" customFormat="1" ht="26.25" customHeight="1">
      <c r="A59" s="256" t="s">
        <v>343</v>
      </c>
      <c r="B59" s="103"/>
      <c r="C59" s="18"/>
      <c r="D59" s="40"/>
      <c r="E59" s="18">
        <v>1.3</v>
      </c>
      <c r="F59" s="14">
        <f t="shared" si="2"/>
        <v>1.3</v>
      </c>
      <c r="G59" s="252" t="e">
        <f t="shared" si="3"/>
        <v>#DIV/0!</v>
      </c>
      <c r="H59" s="25"/>
    </row>
    <row r="60" spans="1:8" s="5" customFormat="1" ht="26.25" customHeight="1">
      <c r="A60" s="255" t="s">
        <v>344</v>
      </c>
      <c r="B60" s="103"/>
      <c r="C60" s="18"/>
      <c r="D60" s="40"/>
      <c r="E60" s="18">
        <v>59.9</v>
      </c>
      <c r="F60" s="14">
        <f t="shared" si="2"/>
        <v>59.9</v>
      </c>
      <c r="G60" s="252" t="e">
        <f t="shared" si="3"/>
        <v>#DIV/0!</v>
      </c>
      <c r="H60" s="25"/>
    </row>
    <row r="61" spans="1:8" s="5" customFormat="1" ht="38.25" customHeight="1">
      <c r="A61" s="256" t="s">
        <v>345</v>
      </c>
      <c r="B61" s="103"/>
      <c r="C61" s="18"/>
      <c r="D61" s="40"/>
      <c r="E61" s="18">
        <v>29.4</v>
      </c>
      <c r="F61" s="14">
        <f t="shared" si="2"/>
        <v>29.4</v>
      </c>
      <c r="G61" s="252" t="e">
        <f t="shared" si="3"/>
        <v>#DIV/0!</v>
      </c>
      <c r="H61" s="25"/>
    </row>
    <row r="62" spans="1:8" s="5" customFormat="1" ht="38.25" customHeight="1">
      <c r="A62" s="256" t="s">
        <v>346</v>
      </c>
      <c r="B62" s="103"/>
      <c r="C62" s="18"/>
      <c r="D62" s="40"/>
      <c r="E62" s="18">
        <v>4.9000000000000004</v>
      </c>
      <c r="F62" s="14">
        <f t="shared" si="2"/>
        <v>4.9000000000000004</v>
      </c>
      <c r="G62" s="252" t="e">
        <f t="shared" si="3"/>
        <v>#DIV/0!</v>
      </c>
      <c r="H62" s="25"/>
    </row>
    <row r="63" spans="1:8" s="5" customFormat="1" ht="28.5" customHeight="1">
      <c r="A63" s="256" t="s">
        <v>347</v>
      </c>
      <c r="B63" s="103"/>
      <c r="C63" s="18"/>
      <c r="D63" s="40"/>
      <c r="E63" s="18">
        <v>20.9</v>
      </c>
      <c r="F63" s="14">
        <f t="shared" si="2"/>
        <v>20.9</v>
      </c>
      <c r="G63" s="252" t="e">
        <f t="shared" si="3"/>
        <v>#DIV/0!</v>
      </c>
      <c r="H63" s="25"/>
    </row>
    <row r="64" spans="1:8" s="5" customFormat="1" ht="26.25" customHeight="1">
      <c r="A64" s="255" t="s">
        <v>348</v>
      </c>
      <c r="B64" s="103"/>
      <c r="C64" s="18"/>
      <c r="D64" s="40"/>
      <c r="E64" s="18">
        <v>16.3</v>
      </c>
      <c r="F64" s="14">
        <f t="shared" si="2"/>
        <v>16.3</v>
      </c>
      <c r="G64" s="252" t="e">
        <f t="shared" si="3"/>
        <v>#DIV/0!</v>
      </c>
      <c r="H64" s="25"/>
    </row>
    <row r="65" spans="1:8" s="5" customFormat="1" ht="26.25" customHeight="1">
      <c r="A65" s="255" t="s">
        <v>349</v>
      </c>
      <c r="B65" s="103"/>
      <c r="C65" s="18"/>
      <c r="D65" s="40"/>
      <c r="E65" s="18">
        <v>18.8</v>
      </c>
      <c r="F65" s="14">
        <f t="shared" si="2"/>
        <v>18.8</v>
      </c>
      <c r="G65" s="252" t="e">
        <f t="shared" si="3"/>
        <v>#DIV/0!</v>
      </c>
      <c r="H65" s="25"/>
    </row>
    <row r="66" spans="1:8" s="5" customFormat="1" ht="41.25" customHeight="1">
      <c r="A66" s="256" t="s">
        <v>350</v>
      </c>
      <c r="B66" s="103"/>
      <c r="C66" s="18"/>
      <c r="D66" s="40"/>
      <c r="E66" s="18">
        <v>33</v>
      </c>
      <c r="F66" s="14">
        <f t="shared" si="2"/>
        <v>33</v>
      </c>
      <c r="G66" s="252" t="e">
        <f t="shared" si="3"/>
        <v>#DIV/0!</v>
      </c>
      <c r="H66" s="25"/>
    </row>
    <row r="67" spans="1:8" s="5" customFormat="1" ht="26.25" customHeight="1">
      <c r="A67" s="255" t="s">
        <v>351</v>
      </c>
      <c r="B67" s="103"/>
      <c r="C67" s="18"/>
      <c r="D67" s="40"/>
      <c r="E67" s="18">
        <v>31.5</v>
      </c>
      <c r="F67" s="14">
        <f t="shared" si="2"/>
        <v>31.5</v>
      </c>
      <c r="G67" s="252" t="e">
        <f t="shared" si="3"/>
        <v>#DIV/0!</v>
      </c>
      <c r="H67" s="25"/>
    </row>
    <row r="68" spans="1:8" s="5" customFormat="1" ht="28.5" customHeight="1">
      <c r="A68" s="255" t="s">
        <v>352</v>
      </c>
      <c r="B68" s="103"/>
      <c r="C68" s="18"/>
      <c r="D68" s="40"/>
      <c r="E68" s="18">
        <v>13</v>
      </c>
      <c r="F68" s="14">
        <f t="shared" si="2"/>
        <v>13</v>
      </c>
      <c r="G68" s="252" t="e">
        <f t="shared" si="3"/>
        <v>#DIV/0!</v>
      </c>
      <c r="H68" s="25"/>
    </row>
    <row r="69" spans="1:8" s="5" customFormat="1" ht="42.75" customHeight="1">
      <c r="A69" s="256" t="s">
        <v>353</v>
      </c>
      <c r="B69" s="103"/>
      <c r="C69" s="18"/>
      <c r="D69" s="40"/>
      <c r="E69" s="18">
        <v>3.7</v>
      </c>
      <c r="F69" s="14">
        <f t="shared" si="2"/>
        <v>3.7</v>
      </c>
      <c r="G69" s="252" t="e">
        <f t="shared" si="3"/>
        <v>#DIV/0!</v>
      </c>
      <c r="H69" s="25"/>
    </row>
    <row r="70" spans="1:8" s="5" customFormat="1" ht="26.25" customHeight="1">
      <c r="A70" s="256" t="s">
        <v>354</v>
      </c>
      <c r="B70" s="103"/>
      <c r="C70" s="18"/>
      <c r="D70" s="40"/>
      <c r="E70" s="18">
        <v>7.7</v>
      </c>
      <c r="F70" s="14">
        <f t="shared" si="2"/>
        <v>7.7</v>
      </c>
      <c r="G70" s="252" t="e">
        <f t="shared" si="3"/>
        <v>#DIV/0!</v>
      </c>
      <c r="H70" s="25"/>
    </row>
    <row r="71" spans="1:8" s="5" customFormat="1" ht="26.25" customHeight="1">
      <c r="A71" s="256" t="s">
        <v>355</v>
      </c>
      <c r="B71" s="103"/>
      <c r="C71" s="18"/>
      <c r="D71" s="40"/>
      <c r="E71" s="18">
        <v>10.7</v>
      </c>
      <c r="F71" s="14">
        <f t="shared" si="2"/>
        <v>10.7</v>
      </c>
      <c r="G71" s="252" t="e">
        <f t="shared" si="3"/>
        <v>#DIV/0!</v>
      </c>
      <c r="H71" s="25"/>
    </row>
    <row r="72" spans="1:8" s="5" customFormat="1" ht="40.5" customHeight="1">
      <c r="A72" s="256" t="s">
        <v>356</v>
      </c>
      <c r="B72" s="103"/>
      <c r="C72" s="18"/>
      <c r="D72" s="40"/>
      <c r="E72" s="18">
        <v>8.1</v>
      </c>
      <c r="F72" s="14">
        <f t="shared" ref="F72:F102" si="4">E72-D72</f>
        <v>8.1</v>
      </c>
      <c r="G72" s="252" t="e">
        <f t="shared" ref="G72:G102" si="5">(E72/D72)*100</f>
        <v>#DIV/0!</v>
      </c>
      <c r="H72" s="25"/>
    </row>
    <row r="73" spans="1:8" s="5" customFormat="1" ht="40.5" customHeight="1">
      <c r="A73" s="256" t="s">
        <v>357</v>
      </c>
      <c r="B73" s="103"/>
      <c r="C73" s="18"/>
      <c r="D73" s="40"/>
      <c r="E73" s="18">
        <v>7.8</v>
      </c>
      <c r="F73" s="14">
        <f t="shared" si="4"/>
        <v>7.8</v>
      </c>
      <c r="G73" s="252" t="e">
        <f t="shared" si="5"/>
        <v>#DIV/0!</v>
      </c>
      <c r="H73" s="25"/>
    </row>
    <row r="74" spans="1:8" s="5" customFormat="1" ht="26.25" customHeight="1">
      <c r="A74" s="255" t="s">
        <v>358</v>
      </c>
      <c r="B74" s="103"/>
      <c r="C74" s="18"/>
      <c r="D74" s="40"/>
      <c r="E74" s="18">
        <v>6</v>
      </c>
      <c r="F74" s="14">
        <f t="shared" si="4"/>
        <v>6</v>
      </c>
      <c r="G74" s="252" t="e">
        <f t="shared" si="5"/>
        <v>#DIV/0!</v>
      </c>
      <c r="H74" s="25"/>
    </row>
    <row r="75" spans="1:8" s="5" customFormat="1" ht="26.25" customHeight="1">
      <c r="A75" s="255" t="s">
        <v>359</v>
      </c>
      <c r="B75" s="103"/>
      <c r="C75" s="18"/>
      <c r="D75" s="40"/>
      <c r="E75" s="18">
        <v>1.7</v>
      </c>
      <c r="F75" s="14">
        <f t="shared" si="4"/>
        <v>1.7</v>
      </c>
      <c r="G75" s="252" t="e">
        <f t="shared" si="5"/>
        <v>#DIV/0!</v>
      </c>
      <c r="H75" s="25"/>
    </row>
    <row r="76" spans="1:8" s="5" customFormat="1" ht="26.25" customHeight="1">
      <c r="A76" s="255" t="s">
        <v>360</v>
      </c>
      <c r="B76" s="103"/>
      <c r="C76" s="18"/>
      <c r="D76" s="40"/>
      <c r="E76" s="18">
        <v>7.5</v>
      </c>
      <c r="F76" s="14">
        <f t="shared" si="4"/>
        <v>7.5</v>
      </c>
      <c r="G76" s="252" t="e">
        <f t="shared" si="5"/>
        <v>#DIV/0!</v>
      </c>
      <c r="H76" s="25"/>
    </row>
    <row r="77" spans="1:8" s="5" customFormat="1" ht="26.25" customHeight="1">
      <c r="A77" s="255" t="s">
        <v>361</v>
      </c>
      <c r="B77" s="103"/>
      <c r="C77" s="18"/>
      <c r="D77" s="40"/>
      <c r="E77" s="18">
        <v>4</v>
      </c>
      <c r="F77" s="14">
        <f t="shared" si="4"/>
        <v>4</v>
      </c>
      <c r="G77" s="252" t="e">
        <f t="shared" si="5"/>
        <v>#DIV/0!</v>
      </c>
      <c r="H77" s="25"/>
    </row>
    <row r="78" spans="1:8" s="5" customFormat="1" ht="26.25" customHeight="1">
      <c r="A78" s="255" t="s">
        <v>362</v>
      </c>
      <c r="B78" s="103"/>
      <c r="C78" s="18"/>
      <c r="D78" s="40"/>
      <c r="E78" s="18">
        <v>1.9</v>
      </c>
      <c r="F78" s="14">
        <f t="shared" si="4"/>
        <v>1.9</v>
      </c>
      <c r="G78" s="252" t="e">
        <f t="shared" si="5"/>
        <v>#DIV/0!</v>
      </c>
      <c r="H78" s="25"/>
    </row>
    <row r="79" spans="1:8" s="5" customFormat="1" ht="26.25" customHeight="1">
      <c r="A79" s="255" t="s">
        <v>363</v>
      </c>
      <c r="B79" s="103"/>
      <c r="C79" s="18"/>
      <c r="D79" s="40"/>
      <c r="E79" s="18">
        <v>3.6</v>
      </c>
      <c r="F79" s="14">
        <f t="shared" si="4"/>
        <v>3.6</v>
      </c>
      <c r="G79" s="252" t="e">
        <f t="shared" si="5"/>
        <v>#DIV/0!</v>
      </c>
      <c r="H79" s="25"/>
    </row>
    <row r="80" spans="1:8" s="5" customFormat="1" ht="26.25" customHeight="1">
      <c r="A80" s="255" t="s">
        <v>364</v>
      </c>
      <c r="B80" s="103"/>
      <c r="C80" s="18"/>
      <c r="D80" s="40"/>
      <c r="E80" s="18">
        <v>0.1</v>
      </c>
      <c r="F80" s="14">
        <f t="shared" si="4"/>
        <v>0.1</v>
      </c>
      <c r="G80" s="252" t="e">
        <f t="shared" si="5"/>
        <v>#DIV/0!</v>
      </c>
      <c r="H80" s="25"/>
    </row>
    <row r="81" spans="1:8" s="5" customFormat="1" ht="26.25" customHeight="1">
      <c r="A81" s="255" t="s">
        <v>365</v>
      </c>
      <c r="B81" s="103"/>
      <c r="C81" s="18"/>
      <c r="D81" s="40"/>
      <c r="E81" s="18">
        <v>0.1</v>
      </c>
      <c r="F81" s="14">
        <f t="shared" si="4"/>
        <v>0.1</v>
      </c>
      <c r="G81" s="252" t="e">
        <f t="shared" si="5"/>
        <v>#DIV/0!</v>
      </c>
      <c r="H81" s="25"/>
    </row>
    <row r="82" spans="1:8" s="5" customFormat="1" ht="26.25" customHeight="1">
      <c r="A82" s="255" t="s">
        <v>366</v>
      </c>
      <c r="B82" s="103"/>
      <c r="C82" s="18"/>
      <c r="D82" s="40"/>
      <c r="E82" s="18">
        <v>0.1</v>
      </c>
      <c r="F82" s="14">
        <f t="shared" si="4"/>
        <v>0.1</v>
      </c>
      <c r="G82" s="252" t="e">
        <f t="shared" si="5"/>
        <v>#DIV/0!</v>
      </c>
      <c r="H82" s="25"/>
    </row>
    <row r="83" spans="1:8" s="5" customFormat="1" ht="26.25" customHeight="1">
      <c r="A83" s="255" t="s">
        <v>367</v>
      </c>
      <c r="B83" s="103"/>
      <c r="C83" s="18"/>
      <c r="D83" s="40"/>
      <c r="E83" s="18">
        <v>0.7</v>
      </c>
      <c r="F83" s="14">
        <f t="shared" si="4"/>
        <v>0.7</v>
      </c>
      <c r="G83" s="252" t="e">
        <f t="shared" si="5"/>
        <v>#DIV/0!</v>
      </c>
      <c r="H83" s="25"/>
    </row>
    <row r="84" spans="1:8" s="5" customFormat="1" ht="26.25" customHeight="1">
      <c r="A84" s="255" t="s">
        <v>368</v>
      </c>
      <c r="B84" s="103"/>
      <c r="C84" s="18"/>
      <c r="D84" s="40"/>
      <c r="E84" s="18">
        <v>0.2</v>
      </c>
      <c r="F84" s="14">
        <f t="shared" si="4"/>
        <v>0.2</v>
      </c>
      <c r="G84" s="252" t="e">
        <f t="shared" si="5"/>
        <v>#DIV/0!</v>
      </c>
      <c r="H84" s="25"/>
    </row>
    <row r="85" spans="1:8" s="5" customFormat="1" ht="63.75" customHeight="1">
      <c r="A85" s="256" t="s">
        <v>369</v>
      </c>
      <c r="B85" s="103"/>
      <c r="C85" s="18"/>
      <c r="D85" s="40"/>
      <c r="E85" s="18">
        <v>4.7</v>
      </c>
      <c r="F85" s="14">
        <f t="shared" si="4"/>
        <v>4.7</v>
      </c>
      <c r="G85" s="252" t="e">
        <f t="shared" si="5"/>
        <v>#DIV/0!</v>
      </c>
      <c r="H85" s="25"/>
    </row>
    <row r="86" spans="1:8" s="5" customFormat="1" ht="26.25" customHeight="1">
      <c r="A86" s="255" t="s">
        <v>370</v>
      </c>
      <c r="B86" s="103"/>
      <c r="C86" s="18"/>
      <c r="D86" s="40"/>
      <c r="E86" s="18">
        <v>4</v>
      </c>
      <c r="F86" s="14">
        <f t="shared" si="4"/>
        <v>4</v>
      </c>
      <c r="G86" s="252" t="e">
        <f t="shared" si="5"/>
        <v>#DIV/0!</v>
      </c>
      <c r="H86" s="25"/>
    </row>
    <row r="87" spans="1:8" s="5" customFormat="1" ht="22.5" customHeight="1">
      <c r="A87" s="256" t="s">
        <v>371</v>
      </c>
      <c r="B87" s="103"/>
      <c r="C87" s="18"/>
      <c r="D87" s="40"/>
      <c r="E87" s="18">
        <v>0.8</v>
      </c>
      <c r="F87" s="14">
        <f t="shared" si="4"/>
        <v>0.8</v>
      </c>
      <c r="G87" s="252" t="e">
        <f t="shared" si="5"/>
        <v>#DIV/0!</v>
      </c>
      <c r="H87" s="25"/>
    </row>
    <row r="88" spans="1:8" s="5" customFormat="1" ht="38.25" customHeight="1">
      <c r="A88" s="256" t="s">
        <v>372</v>
      </c>
      <c r="B88" s="103"/>
      <c r="C88" s="18"/>
      <c r="D88" s="40"/>
      <c r="E88" s="18">
        <v>2.2000000000000002</v>
      </c>
      <c r="F88" s="14">
        <f t="shared" si="4"/>
        <v>2.2000000000000002</v>
      </c>
      <c r="G88" s="252" t="e">
        <f t="shared" si="5"/>
        <v>#DIV/0!</v>
      </c>
      <c r="H88" s="25"/>
    </row>
    <row r="89" spans="1:8" s="5" customFormat="1" ht="26.25" customHeight="1">
      <c r="A89" s="256" t="s">
        <v>373</v>
      </c>
      <c r="B89" s="103"/>
      <c r="C89" s="18"/>
      <c r="D89" s="40"/>
      <c r="E89" s="18">
        <v>1</v>
      </c>
      <c r="F89" s="14">
        <f t="shared" si="4"/>
        <v>1</v>
      </c>
      <c r="G89" s="252" t="e">
        <f t="shared" si="5"/>
        <v>#DIV/0!</v>
      </c>
      <c r="H89" s="25"/>
    </row>
    <row r="90" spans="1:8" s="5" customFormat="1" ht="26.25" customHeight="1">
      <c r="A90" s="255" t="s">
        <v>374</v>
      </c>
      <c r="B90" s="103"/>
      <c r="C90" s="18"/>
      <c r="D90" s="40"/>
      <c r="E90" s="18">
        <v>1</v>
      </c>
      <c r="F90" s="14">
        <f t="shared" si="4"/>
        <v>1</v>
      </c>
      <c r="G90" s="252" t="e">
        <f t="shared" si="5"/>
        <v>#DIV/0!</v>
      </c>
      <c r="H90" s="25"/>
    </row>
    <row r="91" spans="1:8" s="5" customFormat="1" ht="26.25" customHeight="1">
      <c r="A91" s="255" t="s">
        <v>375</v>
      </c>
      <c r="B91" s="103"/>
      <c r="C91" s="18"/>
      <c r="D91" s="40"/>
      <c r="E91" s="18">
        <v>0.9</v>
      </c>
      <c r="F91" s="14">
        <f t="shared" si="4"/>
        <v>0.9</v>
      </c>
      <c r="G91" s="252" t="e">
        <f t="shared" si="5"/>
        <v>#DIV/0!</v>
      </c>
      <c r="H91" s="25"/>
    </row>
    <row r="92" spans="1:8" s="5" customFormat="1" ht="26.25" customHeight="1">
      <c r="A92" s="255" t="s">
        <v>376</v>
      </c>
      <c r="B92" s="103"/>
      <c r="C92" s="18"/>
      <c r="D92" s="40"/>
      <c r="E92" s="18">
        <v>0.5</v>
      </c>
      <c r="F92" s="14">
        <f t="shared" si="4"/>
        <v>0.5</v>
      </c>
      <c r="G92" s="252" t="e">
        <f t="shared" si="5"/>
        <v>#DIV/0!</v>
      </c>
      <c r="H92" s="25"/>
    </row>
    <row r="93" spans="1:8" s="5" customFormat="1" ht="26.25" customHeight="1">
      <c r="A93" s="256" t="s">
        <v>377</v>
      </c>
      <c r="B93" s="103"/>
      <c r="C93" s="18"/>
      <c r="D93" s="40"/>
      <c r="E93" s="18">
        <v>0.4</v>
      </c>
      <c r="F93" s="14">
        <f t="shared" si="4"/>
        <v>0.4</v>
      </c>
      <c r="G93" s="252" t="e">
        <f t="shared" si="5"/>
        <v>#DIV/0!</v>
      </c>
      <c r="H93" s="25"/>
    </row>
    <row r="94" spans="1:8" s="5" customFormat="1" ht="26.25" customHeight="1">
      <c r="A94" s="255" t="s">
        <v>378</v>
      </c>
      <c r="B94" s="103"/>
      <c r="C94" s="18"/>
      <c r="D94" s="40"/>
      <c r="E94" s="18">
        <v>0.2</v>
      </c>
      <c r="F94" s="14">
        <f t="shared" si="4"/>
        <v>0.2</v>
      </c>
      <c r="G94" s="252" t="e">
        <f t="shared" si="5"/>
        <v>#DIV/0!</v>
      </c>
      <c r="H94" s="25"/>
    </row>
    <row r="95" spans="1:8" s="5" customFormat="1" ht="26.25" customHeight="1">
      <c r="A95" s="255" t="s">
        <v>379</v>
      </c>
      <c r="B95" s="103"/>
      <c r="C95" s="18"/>
      <c r="D95" s="40"/>
      <c r="E95" s="18">
        <v>0.3</v>
      </c>
      <c r="F95" s="14">
        <f t="shared" si="4"/>
        <v>0.3</v>
      </c>
      <c r="G95" s="252" t="e">
        <f t="shared" si="5"/>
        <v>#DIV/0!</v>
      </c>
      <c r="H95" s="25"/>
    </row>
    <row r="96" spans="1:8" s="5" customFormat="1" ht="26.25" customHeight="1">
      <c r="A96" s="255" t="s">
        <v>380</v>
      </c>
      <c r="B96" s="103"/>
      <c r="C96" s="18"/>
      <c r="D96" s="40"/>
      <c r="E96" s="18">
        <v>0.2</v>
      </c>
      <c r="F96" s="14">
        <f t="shared" si="4"/>
        <v>0.2</v>
      </c>
      <c r="G96" s="252" t="e">
        <f t="shared" si="5"/>
        <v>#DIV/0!</v>
      </c>
      <c r="H96" s="25"/>
    </row>
    <row r="97" spans="1:8" s="5" customFormat="1" ht="26.25" customHeight="1">
      <c r="A97" s="255" t="s">
        <v>381</v>
      </c>
      <c r="B97" s="103"/>
      <c r="C97" s="18"/>
      <c r="D97" s="40"/>
      <c r="E97" s="18">
        <v>0.1</v>
      </c>
      <c r="F97" s="14">
        <f t="shared" si="4"/>
        <v>0.1</v>
      </c>
      <c r="G97" s="252" t="e">
        <f t="shared" si="5"/>
        <v>#DIV/0!</v>
      </c>
      <c r="H97" s="25"/>
    </row>
    <row r="98" spans="1:8" s="5" customFormat="1" ht="27.75" customHeight="1">
      <c r="A98" s="255" t="s">
        <v>382</v>
      </c>
      <c r="B98" s="103"/>
      <c r="C98" s="18"/>
      <c r="D98" s="40"/>
      <c r="E98" s="18">
        <v>0.1</v>
      </c>
      <c r="F98" s="14">
        <f t="shared" si="4"/>
        <v>0.1</v>
      </c>
      <c r="G98" s="252" t="e">
        <f t="shared" si="5"/>
        <v>#DIV/0!</v>
      </c>
      <c r="H98" s="25"/>
    </row>
    <row r="99" spans="1:8" s="5" customFormat="1" ht="26.25" customHeight="1">
      <c r="A99" s="255" t="s">
        <v>383</v>
      </c>
      <c r="B99" s="103"/>
      <c r="C99" s="18"/>
      <c r="D99" s="40"/>
      <c r="E99" s="18">
        <v>0.7</v>
      </c>
      <c r="F99" s="14">
        <f t="shared" si="4"/>
        <v>0.7</v>
      </c>
      <c r="G99" s="252" t="e">
        <f t="shared" si="5"/>
        <v>#DIV/0!</v>
      </c>
      <c r="H99" s="25"/>
    </row>
    <row r="100" spans="1:8" ht="31.5" customHeight="1">
      <c r="A100" s="67" t="s">
        <v>39</v>
      </c>
      <c r="B100" s="64">
        <v>4060</v>
      </c>
      <c r="C100" s="40">
        <f>SUM(C101:C102)</f>
        <v>3657.9</v>
      </c>
      <c r="D100" s="40">
        <f>SUM(D101:D102)</f>
        <v>0</v>
      </c>
      <c r="E100" s="40">
        <f>SUM(E101:E102)</f>
        <v>239.7</v>
      </c>
      <c r="F100" s="40">
        <f t="shared" si="4"/>
        <v>239.7</v>
      </c>
      <c r="G100" s="252" t="e">
        <f t="shared" si="5"/>
        <v>#DIV/0!</v>
      </c>
    </row>
    <row r="101" spans="1:8" ht="123" customHeight="1">
      <c r="A101" s="258" t="s">
        <v>284</v>
      </c>
      <c r="B101" s="12"/>
      <c r="C101" s="18">
        <v>1588.5</v>
      </c>
      <c r="D101" s="18"/>
      <c r="E101" s="18">
        <v>239.7</v>
      </c>
      <c r="F101" s="14">
        <f t="shared" si="4"/>
        <v>239.7</v>
      </c>
      <c r="G101" s="252" t="e">
        <f t="shared" si="5"/>
        <v>#DIV/0!</v>
      </c>
    </row>
    <row r="102" spans="1:8" ht="71.25" customHeight="1">
      <c r="A102" s="258" t="s">
        <v>255</v>
      </c>
      <c r="B102" s="12"/>
      <c r="C102" s="18">
        <v>2069.4</v>
      </c>
      <c r="D102" s="18"/>
      <c r="E102" s="18"/>
      <c r="F102" s="14">
        <f t="shared" si="4"/>
        <v>0</v>
      </c>
      <c r="G102" s="252" t="e">
        <f t="shared" si="5"/>
        <v>#DIV/0!</v>
      </c>
    </row>
    <row r="103" spans="1:8" ht="26.25" customHeight="1">
      <c r="A103" s="7"/>
      <c r="B103" s="3"/>
      <c r="C103" s="29"/>
      <c r="D103" s="29"/>
      <c r="E103" s="29"/>
      <c r="F103" s="29"/>
      <c r="G103" s="108"/>
    </row>
    <row r="104" spans="1:8" ht="26.25" customHeight="1">
      <c r="A104" s="76" t="s">
        <v>214</v>
      </c>
      <c r="B104" s="27"/>
      <c r="C104" s="225"/>
      <c r="D104" s="225"/>
      <c r="E104" s="180"/>
      <c r="F104" s="213" t="s">
        <v>185</v>
      </c>
      <c r="G104" s="213"/>
      <c r="H104" s="28"/>
    </row>
    <row r="105" spans="1:8">
      <c r="A105" s="199" t="s">
        <v>60</v>
      </c>
      <c r="B105" s="2"/>
      <c r="C105" s="222" t="s">
        <v>66</v>
      </c>
      <c r="D105" s="222"/>
      <c r="E105" s="196"/>
      <c r="F105" s="229" t="s">
        <v>17</v>
      </c>
      <c r="G105" s="229"/>
    </row>
    <row r="106" spans="1:8">
      <c r="A106" s="7"/>
      <c r="C106" s="104"/>
      <c r="D106" s="6"/>
      <c r="E106" s="6"/>
      <c r="F106" s="6"/>
    </row>
    <row r="107" spans="1:8">
      <c r="A107" s="7"/>
      <c r="C107" s="104"/>
      <c r="D107" s="6"/>
      <c r="E107" s="6"/>
      <c r="F107" s="6"/>
    </row>
    <row r="108" spans="1:8">
      <c r="A108" s="7"/>
      <c r="C108" s="104"/>
      <c r="D108" s="6"/>
      <c r="E108" s="6"/>
      <c r="F108" s="6"/>
    </row>
    <row r="109" spans="1:8">
      <c r="A109" s="7"/>
      <c r="C109" s="104"/>
      <c r="D109" s="6"/>
      <c r="E109" s="6"/>
      <c r="F109" s="6"/>
    </row>
    <row r="110" spans="1:8">
      <c r="A110" s="7"/>
      <c r="C110" s="104"/>
      <c r="D110" s="6"/>
      <c r="E110" s="6"/>
      <c r="F110" s="6"/>
    </row>
    <row r="111" spans="1:8">
      <c r="A111" s="7"/>
      <c r="C111" s="104"/>
      <c r="D111" s="6"/>
      <c r="E111" s="6"/>
      <c r="F111" s="6"/>
    </row>
    <row r="112" spans="1:8">
      <c r="A112" s="7"/>
      <c r="C112" s="104"/>
      <c r="D112" s="6"/>
      <c r="E112" s="6"/>
      <c r="F112" s="6"/>
    </row>
    <row r="113" spans="1:6">
      <c r="A113" s="7"/>
      <c r="C113" s="104"/>
      <c r="D113" s="6"/>
      <c r="E113" s="6"/>
      <c r="F113" s="6"/>
    </row>
    <row r="114" spans="1:6">
      <c r="A114" s="7"/>
      <c r="C114" s="104"/>
      <c r="D114" s="6"/>
      <c r="E114" s="6"/>
      <c r="F114" s="6"/>
    </row>
    <row r="115" spans="1:6">
      <c r="A115" s="7"/>
      <c r="C115" s="104"/>
      <c r="D115" s="6"/>
      <c r="E115" s="6"/>
      <c r="F115" s="6"/>
    </row>
    <row r="116" spans="1:6">
      <c r="A116" s="7"/>
      <c r="C116" s="104"/>
      <c r="D116" s="6"/>
      <c r="E116" s="6"/>
      <c r="F116" s="6"/>
    </row>
    <row r="117" spans="1:6">
      <c r="A117" s="7"/>
      <c r="C117" s="104"/>
      <c r="D117" s="6"/>
      <c r="E117" s="6"/>
      <c r="F117" s="6"/>
    </row>
    <row r="118" spans="1:6">
      <c r="A118" s="7"/>
      <c r="C118" s="104"/>
      <c r="D118" s="6"/>
      <c r="E118" s="6"/>
      <c r="F118" s="6"/>
    </row>
    <row r="119" spans="1:6">
      <c r="A119" s="7"/>
      <c r="C119" s="104"/>
      <c r="D119" s="6"/>
      <c r="E119" s="6"/>
      <c r="F119" s="6"/>
    </row>
    <row r="120" spans="1:6">
      <c r="A120" s="7"/>
      <c r="C120" s="104"/>
      <c r="D120" s="6"/>
      <c r="E120" s="6"/>
      <c r="F120" s="6"/>
    </row>
    <row r="121" spans="1:6">
      <c r="A121" s="7"/>
      <c r="C121" s="104"/>
      <c r="D121" s="6"/>
      <c r="E121" s="6"/>
      <c r="F121" s="6"/>
    </row>
    <row r="122" spans="1:6">
      <c r="A122" s="7"/>
      <c r="C122" s="104"/>
      <c r="D122" s="6"/>
      <c r="E122" s="6"/>
      <c r="F122" s="6"/>
    </row>
    <row r="123" spans="1:6">
      <c r="A123" s="7"/>
      <c r="C123" s="104"/>
      <c r="D123" s="6"/>
      <c r="E123" s="6"/>
      <c r="F123" s="6"/>
    </row>
    <row r="124" spans="1:6">
      <c r="A124" s="7"/>
      <c r="C124" s="104"/>
      <c r="D124" s="6"/>
      <c r="E124" s="6"/>
      <c r="F124" s="6"/>
    </row>
    <row r="125" spans="1:6">
      <c r="A125" s="7"/>
      <c r="C125" s="104"/>
      <c r="D125" s="6"/>
      <c r="E125" s="6"/>
      <c r="F125" s="6"/>
    </row>
    <row r="126" spans="1:6">
      <c r="A126" s="7"/>
      <c r="C126" s="104"/>
      <c r="D126" s="6"/>
      <c r="E126" s="6"/>
      <c r="F126" s="6"/>
    </row>
    <row r="127" spans="1:6">
      <c r="A127" s="7"/>
      <c r="C127" s="104"/>
      <c r="D127" s="6"/>
      <c r="E127" s="6"/>
      <c r="F127" s="6"/>
    </row>
    <row r="128" spans="1:6">
      <c r="A128" s="7"/>
      <c r="C128" s="104"/>
      <c r="D128" s="6"/>
      <c r="E128" s="6"/>
      <c r="F128" s="6"/>
    </row>
    <row r="129" spans="1:6">
      <c r="A129" s="7"/>
      <c r="C129" s="104"/>
      <c r="D129" s="6"/>
      <c r="E129" s="6"/>
      <c r="F129" s="6"/>
    </row>
    <row r="130" spans="1:6">
      <c r="A130" s="7"/>
      <c r="C130" s="104"/>
      <c r="D130" s="6"/>
      <c r="E130" s="6"/>
      <c r="F130" s="6"/>
    </row>
    <row r="131" spans="1:6">
      <c r="A131" s="7"/>
      <c r="C131" s="104"/>
      <c r="D131" s="6"/>
      <c r="E131" s="6"/>
      <c r="F131" s="6"/>
    </row>
    <row r="132" spans="1:6">
      <c r="A132" s="7"/>
      <c r="C132" s="104"/>
      <c r="D132" s="6"/>
      <c r="E132" s="6"/>
      <c r="F132" s="6"/>
    </row>
    <row r="133" spans="1:6">
      <c r="A133" s="7"/>
      <c r="C133" s="104"/>
      <c r="D133" s="6"/>
      <c r="E133" s="6"/>
      <c r="F133" s="6"/>
    </row>
    <row r="134" spans="1:6">
      <c r="A134" s="7"/>
      <c r="C134" s="104"/>
      <c r="D134" s="6"/>
      <c r="E134" s="6"/>
      <c r="F134" s="6"/>
    </row>
    <row r="135" spans="1:6">
      <c r="A135" s="7"/>
      <c r="C135" s="104"/>
      <c r="D135" s="6"/>
      <c r="E135" s="6"/>
      <c r="F135" s="6"/>
    </row>
    <row r="136" spans="1:6">
      <c r="A136" s="7"/>
      <c r="C136" s="104"/>
      <c r="D136" s="6"/>
      <c r="E136" s="6"/>
      <c r="F136" s="6"/>
    </row>
    <row r="137" spans="1:6">
      <c r="A137" s="7"/>
      <c r="C137" s="104"/>
      <c r="D137" s="6"/>
      <c r="E137" s="6"/>
      <c r="F137" s="6"/>
    </row>
    <row r="138" spans="1:6">
      <c r="A138" s="7"/>
      <c r="C138" s="104"/>
      <c r="D138" s="6"/>
      <c r="E138" s="6"/>
      <c r="F138" s="6"/>
    </row>
    <row r="139" spans="1:6">
      <c r="A139" s="7"/>
      <c r="C139" s="104"/>
      <c r="D139" s="6"/>
      <c r="E139" s="6"/>
      <c r="F139" s="6"/>
    </row>
    <row r="140" spans="1:6">
      <c r="A140" s="7"/>
      <c r="C140" s="104"/>
      <c r="D140" s="6"/>
      <c r="E140" s="6"/>
      <c r="F140" s="6"/>
    </row>
    <row r="141" spans="1:6">
      <c r="A141" s="7"/>
      <c r="C141" s="104"/>
      <c r="D141" s="6"/>
      <c r="E141" s="6"/>
      <c r="F141" s="6"/>
    </row>
    <row r="142" spans="1:6">
      <c r="A142" s="7"/>
      <c r="C142" s="104"/>
      <c r="D142" s="6"/>
      <c r="E142" s="6"/>
      <c r="F142" s="6"/>
    </row>
    <row r="143" spans="1:6">
      <c r="A143" s="7"/>
      <c r="C143" s="104"/>
      <c r="D143" s="6"/>
      <c r="E143" s="6"/>
      <c r="F143" s="6"/>
    </row>
    <row r="144" spans="1:6">
      <c r="A144" s="7"/>
      <c r="C144" s="104"/>
      <c r="D144" s="6"/>
      <c r="E144" s="6"/>
      <c r="F144" s="6"/>
    </row>
    <row r="145" spans="1:6">
      <c r="A145" s="7"/>
      <c r="C145" s="104"/>
      <c r="D145" s="6"/>
      <c r="E145" s="6"/>
      <c r="F145" s="6"/>
    </row>
    <row r="146" spans="1:6">
      <c r="A146" s="7"/>
      <c r="C146" s="104"/>
      <c r="D146" s="6"/>
      <c r="E146" s="6"/>
      <c r="F146" s="6"/>
    </row>
    <row r="147" spans="1:6">
      <c r="A147" s="7"/>
      <c r="C147" s="104"/>
      <c r="D147" s="6"/>
      <c r="E147" s="6"/>
      <c r="F147" s="6"/>
    </row>
    <row r="148" spans="1:6">
      <c r="A148" s="7"/>
      <c r="C148" s="104"/>
      <c r="D148" s="6"/>
      <c r="E148" s="6"/>
      <c r="F148" s="6"/>
    </row>
    <row r="149" spans="1:6">
      <c r="A149" s="7"/>
      <c r="C149" s="104"/>
      <c r="D149" s="6"/>
      <c r="E149" s="6"/>
      <c r="F149" s="6"/>
    </row>
    <row r="150" spans="1:6">
      <c r="A150" s="7"/>
      <c r="C150" s="104"/>
      <c r="D150" s="6"/>
      <c r="E150" s="6"/>
      <c r="F150" s="6"/>
    </row>
    <row r="151" spans="1:6">
      <c r="A151" s="7"/>
      <c r="C151" s="104"/>
      <c r="D151" s="6"/>
      <c r="E151" s="6"/>
      <c r="F151" s="6"/>
    </row>
    <row r="152" spans="1:6">
      <c r="A152" s="7"/>
      <c r="C152" s="104"/>
      <c r="D152" s="6"/>
      <c r="E152" s="6"/>
      <c r="F152" s="6"/>
    </row>
    <row r="153" spans="1:6">
      <c r="A153" s="7"/>
      <c r="C153" s="104"/>
      <c r="D153" s="6"/>
      <c r="E153" s="6"/>
      <c r="F153" s="6"/>
    </row>
    <row r="154" spans="1:6">
      <c r="A154" s="7"/>
      <c r="C154" s="104"/>
      <c r="D154" s="6"/>
      <c r="E154" s="6"/>
      <c r="F154" s="6"/>
    </row>
    <row r="155" spans="1:6">
      <c r="A155" s="7"/>
      <c r="C155" s="104"/>
      <c r="D155" s="6"/>
      <c r="E155" s="6"/>
      <c r="F155" s="6"/>
    </row>
    <row r="156" spans="1:6">
      <c r="A156" s="7"/>
      <c r="C156" s="104"/>
      <c r="D156" s="6"/>
      <c r="E156" s="6"/>
      <c r="F156" s="6"/>
    </row>
    <row r="157" spans="1:6">
      <c r="A157" s="7"/>
      <c r="C157" s="104"/>
      <c r="D157" s="6"/>
      <c r="E157" s="6"/>
      <c r="F157" s="6"/>
    </row>
    <row r="158" spans="1:6">
      <c r="A158" s="7"/>
      <c r="C158" s="104"/>
      <c r="D158" s="6"/>
      <c r="E158" s="6"/>
      <c r="F158" s="6"/>
    </row>
    <row r="159" spans="1:6">
      <c r="A159" s="7"/>
      <c r="C159" s="104"/>
      <c r="D159" s="6"/>
      <c r="E159" s="6"/>
      <c r="F159" s="6"/>
    </row>
    <row r="160" spans="1:6">
      <c r="A160" s="7"/>
    </row>
    <row r="161" spans="1:1">
      <c r="A161" s="8"/>
    </row>
    <row r="162" spans="1:1">
      <c r="A162" s="8"/>
    </row>
    <row r="163" spans="1:1">
      <c r="A163" s="8"/>
    </row>
    <row r="164" spans="1:1">
      <c r="A164" s="8"/>
    </row>
    <row r="165" spans="1:1">
      <c r="A165" s="8"/>
    </row>
    <row r="166" spans="1:1">
      <c r="A166" s="8"/>
    </row>
    <row r="167" spans="1:1">
      <c r="A167" s="8"/>
    </row>
    <row r="168" spans="1:1">
      <c r="A168" s="8"/>
    </row>
    <row r="169" spans="1:1">
      <c r="A169" s="8"/>
    </row>
    <row r="170" spans="1:1">
      <c r="A170" s="8"/>
    </row>
    <row r="171" spans="1:1">
      <c r="A171" s="8"/>
    </row>
    <row r="172" spans="1:1">
      <c r="A172" s="8"/>
    </row>
    <row r="173" spans="1:1">
      <c r="A173" s="8"/>
    </row>
    <row r="174" spans="1:1">
      <c r="A174" s="8"/>
    </row>
    <row r="175" spans="1:1">
      <c r="A175" s="8"/>
    </row>
    <row r="176" spans="1:1">
      <c r="A176" s="8"/>
    </row>
    <row r="177" spans="1:1">
      <c r="A177" s="8"/>
    </row>
    <row r="178" spans="1:1">
      <c r="A178" s="8"/>
    </row>
    <row r="179" spans="1:1">
      <c r="A179" s="8"/>
    </row>
    <row r="180" spans="1:1">
      <c r="A180" s="8"/>
    </row>
    <row r="181" spans="1:1">
      <c r="A181" s="8"/>
    </row>
    <row r="182" spans="1:1">
      <c r="A182" s="8"/>
    </row>
    <row r="183" spans="1:1">
      <c r="A183" s="8"/>
    </row>
    <row r="184" spans="1:1">
      <c r="A184" s="8"/>
    </row>
    <row r="185" spans="1:1">
      <c r="A185" s="8"/>
    </row>
    <row r="186" spans="1:1">
      <c r="A186" s="8"/>
    </row>
    <row r="187" spans="1:1">
      <c r="A187" s="8"/>
    </row>
    <row r="188" spans="1:1">
      <c r="A188" s="8"/>
    </row>
    <row r="189" spans="1:1">
      <c r="A189" s="8"/>
    </row>
    <row r="190" spans="1:1">
      <c r="A190" s="8"/>
    </row>
    <row r="191" spans="1:1">
      <c r="A191" s="8"/>
    </row>
    <row r="192" spans="1:1">
      <c r="A192" s="8"/>
    </row>
    <row r="193" spans="1:1">
      <c r="A193" s="8"/>
    </row>
    <row r="194" spans="1:1">
      <c r="A194" s="8"/>
    </row>
    <row r="195" spans="1:1">
      <c r="A195" s="8"/>
    </row>
    <row r="196" spans="1:1">
      <c r="A196" s="8"/>
    </row>
    <row r="197" spans="1:1">
      <c r="A197" s="8"/>
    </row>
    <row r="198" spans="1:1">
      <c r="A198" s="8"/>
    </row>
    <row r="199" spans="1:1">
      <c r="A199" s="8"/>
    </row>
    <row r="200" spans="1:1">
      <c r="A200" s="8"/>
    </row>
    <row r="201" spans="1:1">
      <c r="A201" s="8"/>
    </row>
    <row r="202" spans="1:1">
      <c r="A202" s="8"/>
    </row>
    <row r="203" spans="1:1">
      <c r="A203" s="8"/>
    </row>
    <row r="204" spans="1:1">
      <c r="A204" s="8"/>
    </row>
    <row r="205" spans="1:1">
      <c r="A205" s="8"/>
    </row>
    <row r="206" spans="1:1">
      <c r="A206" s="8"/>
    </row>
    <row r="207" spans="1:1">
      <c r="A207" s="8"/>
    </row>
    <row r="208" spans="1:1">
      <c r="A208" s="8"/>
    </row>
    <row r="209" spans="1:1">
      <c r="A209" s="8"/>
    </row>
    <row r="210" spans="1:1">
      <c r="A210" s="8"/>
    </row>
    <row r="211" spans="1:1">
      <c r="A211" s="8"/>
    </row>
    <row r="212" spans="1:1">
      <c r="A212" s="8"/>
    </row>
    <row r="213" spans="1:1">
      <c r="A213" s="8"/>
    </row>
    <row r="214" spans="1:1">
      <c r="A214" s="8"/>
    </row>
    <row r="215" spans="1:1">
      <c r="A215" s="8"/>
    </row>
    <row r="216" spans="1:1">
      <c r="A216" s="8"/>
    </row>
    <row r="217" spans="1:1">
      <c r="A217" s="8"/>
    </row>
    <row r="218" spans="1:1">
      <c r="A218" s="8"/>
    </row>
    <row r="219" spans="1:1">
      <c r="A219" s="8"/>
    </row>
    <row r="220" spans="1:1">
      <c r="A220" s="8"/>
    </row>
    <row r="221" spans="1:1">
      <c r="A221" s="8"/>
    </row>
    <row r="222" spans="1:1">
      <c r="A222" s="8"/>
    </row>
    <row r="223" spans="1:1">
      <c r="A223" s="8"/>
    </row>
    <row r="224" spans="1:1">
      <c r="A224" s="8"/>
    </row>
    <row r="225" spans="1:1">
      <c r="A225" s="8"/>
    </row>
    <row r="226" spans="1:1">
      <c r="A226" s="8"/>
    </row>
    <row r="227" spans="1:1">
      <c r="A227" s="8"/>
    </row>
    <row r="228" spans="1:1">
      <c r="A228" s="8"/>
    </row>
    <row r="229" spans="1:1">
      <c r="A229" s="8"/>
    </row>
    <row r="230" spans="1:1">
      <c r="A230" s="8"/>
    </row>
    <row r="231" spans="1:1">
      <c r="A231" s="8"/>
    </row>
    <row r="232" spans="1:1">
      <c r="A232" s="8"/>
    </row>
    <row r="233" spans="1:1">
      <c r="A233" s="8"/>
    </row>
    <row r="234" spans="1:1">
      <c r="A234" s="8"/>
    </row>
    <row r="235" spans="1:1">
      <c r="A235" s="8"/>
    </row>
    <row r="236" spans="1:1">
      <c r="A236" s="8"/>
    </row>
    <row r="237" spans="1:1">
      <c r="A237" s="8"/>
    </row>
    <row r="238" spans="1:1">
      <c r="A238" s="8"/>
    </row>
    <row r="239" spans="1:1">
      <c r="A239" s="8"/>
    </row>
    <row r="240" spans="1:1">
      <c r="A240" s="8"/>
    </row>
    <row r="241" spans="1:1">
      <c r="A241" s="8"/>
    </row>
    <row r="242" spans="1:1">
      <c r="A242" s="8"/>
    </row>
    <row r="243" spans="1:1">
      <c r="A243" s="8"/>
    </row>
    <row r="244" spans="1:1">
      <c r="A244" s="8"/>
    </row>
    <row r="245" spans="1:1">
      <c r="A245" s="8"/>
    </row>
    <row r="246" spans="1:1">
      <c r="A246" s="8"/>
    </row>
    <row r="247" spans="1:1">
      <c r="A247" s="8"/>
    </row>
    <row r="248" spans="1:1">
      <c r="A248" s="8"/>
    </row>
    <row r="249" spans="1:1">
      <c r="A249" s="8"/>
    </row>
    <row r="250" spans="1:1">
      <c r="A250" s="8"/>
    </row>
    <row r="251" spans="1:1">
      <c r="A251" s="8"/>
    </row>
    <row r="252" spans="1:1">
      <c r="A252" s="8"/>
    </row>
    <row r="253" spans="1:1">
      <c r="A253" s="8"/>
    </row>
    <row r="254" spans="1:1">
      <c r="A254" s="8"/>
    </row>
    <row r="255" spans="1:1">
      <c r="A255" s="8"/>
    </row>
    <row r="256" spans="1:1">
      <c r="A256" s="8"/>
    </row>
    <row r="257" spans="1:1">
      <c r="A257" s="8"/>
    </row>
    <row r="258" spans="1:1">
      <c r="A258" s="8"/>
    </row>
    <row r="259" spans="1:1">
      <c r="A259" s="8"/>
    </row>
    <row r="260" spans="1:1">
      <c r="A260" s="8"/>
    </row>
    <row r="261" spans="1:1">
      <c r="A261" s="8"/>
    </row>
    <row r="262" spans="1:1">
      <c r="A262" s="8"/>
    </row>
    <row r="263" spans="1:1">
      <c r="A263" s="8"/>
    </row>
    <row r="264" spans="1:1">
      <c r="A264" s="8"/>
    </row>
    <row r="265" spans="1:1">
      <c r="A265" s="8"/>
    </row>
    <row r="266" spans="1:1">
      <c r="A266" s="8"/>
    </row>
    <row r="267" spans="1:1">
      <c r="A267" s="8"/>
    </row>
    <row r="268" spans="1:1">
      <c r="A268" s="8"/>
    </row>
    <row r="269" spans="1:1">
      <c r="A269" s="8"/>
    </row>
    <row r="270" spans="1:1">
      <c r="A270" s="8"/>
    </row>
    <row r="271" spans="1:1">
      <c r="A271" s="8"/>
    </row>
    <row r="272" spans="1:1">
      <c r="A272" s="8"/>
    </row>
    <row r="273" spans="1:1">
      <c r="A273" s="8"/>
    </row>
    <row r="274" spans="1:1">
      <c r="A274" s="8"/>
    </row>
    <row r="275" spans="1:1">
      <c r="A275" s="8"/>
    </row>
    <row r="276" spans="1:1">
      <c r="A276" s="8"/>
    </row>
    <row r="277" spans="1:1">
      <c r="A277" s="8"/>
    </row>
    <row r="278" spans="1:1">
      <c r="A278" s="8"/>
    </row>
    <row r="279" spans="1:1">
      <c r="A279" s="8"/>
    </row>
    <row r="280" spans="1:1">
      <c r="A280" s="8"/>
    </row>
    <row r="281" spans="1:1">
      <c r="A281" s="8"/>
    </row>
    <row r="282" spans="1:1">
      <c r="A282" s="8"/>
    </row>
    <row r="283" spans="1:1">
      <c r="A283" s="8"/>
    </row>
    <row r="284" spans="1:1">
      <c r="A284" s="8"/>
    </row>
    <row r="285" spans="1:1">
      <c r="A285" s="8"/>
    </row>
    <row r="286" spans="1:1">
      <c r="A286" s="8"/>
    </row>
    <row r="287" spans="1:1">
      <c r="A287" s="8"/>
    </row>
    <row r="288" spans="1:1">
      <c r="A288" s="8"/>
    </row>
    <row r="289" spans="1:1">
      <c r="A289" s="8"/>
    </row>
    <row r="290" spans="1:1">
      <c r="A290" s="8"/>
    </row>
    <row r="291" spans="1:1">
      <c r="A291" s="8"/>
    </row>
    <row r="292" spans="1:1">
      <c r="A292" s="8"/>
    </row>
    <row r="293" spans="1:1">
      <c r="A293" s="8"/>
    </row>
    <row r="294" spans="1:1">
      <c r="A294" s="8"/>
    </row>
    <row r="295" spans="1:1">
      <c r="A295" s="8"/>
    </row>
    <row r="296" spans="1:1">
      <c r="A296" s="8"/>
    </row>
    <row r="297" spans="1:1">
      <c r="A297" s="8"/>
    </row>
    <row r="298" spans="1:1">
      <c r="A298" s="8"/>
    </row>
    <row r="299" spans="1:1">
      <c r="A299" s="8"/>
    </row>
    <row r="300" spans="1:1">
      <c r="A300" s="8"/>
    </row>
    <row r="301" spans="1:1">
      <c r="A301" s="8"/>
    </row>
    <row r="302" spans="1:1">
      <c r="A302" s="8"/>
    </row>
    <row r="303" spans="1:1">
      <c r="A303" s="8"/>
    </row>
    <row r="304" spans="1:1">
      <c r="A304" s="8"/>
    </row>
    <row r="305" spans="1:1">
      <c r="A305" s="8"/>
    </row>
    <row r="306" spans="1:1">
      <c r="A306" s="8"/>
    </row>
    <row r="307" spans="1:1">
      <c r="A307" s="8"/>
    </row>
    <row r="308" spans="1:1">
      <c r="A308" s="8"/>
    </row>
    <row r="309" spans="1:1">
      <c r="A309" s="8"/>
    </row>
    <row r="310" spans="1:1">
      <c r="A310" s="8"/>
    </row>
    <row r="311" spans="1:1">
      <c r="A311" s="8"/>
    </row>
    <row r="312" spans="1:1">
      <c r="A312" s="8"/>
    </row>
    <row r="313" spans="1:1">
      <c r="A313" s="8"/>
    </row>
    <row r="314" spans="1:1">
      <c r="A314" s="8"/>
    </row>
    <row r="315" spans="1:1">
      <c r="A315" s="8"/>
    </row>
    <row r="316" spans="1:1">
      <c r="A316" s="8"/>
    </row>
    <row r="317" spans="1:1">
      <c r="A317" s="8"/>
    </row>
    <row r="318" spans="1:1">
      <c r="A318" s="8"/>
    </row>
    <row r="319" spans="1:1">
      <c r="A319" s="8"/>
    </row>
    <row r="320" spans="1:1">
      <c r="A320" s="8"/>
    </row>
    <row r="321" spans="1:1">
      <c r="A321" s="8"/>
    </row>
    <row r="322" spans="1:1">
      <c r="A322" s="8"/>
    </row>
    <row r="323" spans="1:1">
      <c r="A323" s="8"/>
    </row>
    <row r="324" spans="1:1">
      <c r="A324" s="8"/>
    </row>
    <row r="325" spans="1:1">
      <c r="A325" s="8"/>
    </row>
    <row r="326" spans="1:1">
      <c r="A326" s="8"/>
    </row>
    <row r="327" spans="1:1">
      <c r="A327" s="8"/>
    </row>
  </sheetData>
  <mergeCells count="5">
    <mergeCell ref="C104:D104"/>
    <mergeCell ref="C105:D105"/>
    <mergeCell ref="A1:F1"/>
    <mergeCell ref="F104:G104"/>
    <mergeCell ref="F105:G105"/>
  </mergeCells>
  <hyperlinks>
    <hyperlink ref="A101" r:id="rId1" display="https://www.dzo.com.ua/tenders/20078403"/>
  </hyperlinks>
  <pageMargins left="0.39370078740157483" right="0.39370078740157483" top="0.78740157480314965" bottom="0.39370078740157483" header="0.19685039370078741" footer="0.19685039370078741"/>
  <pageSetup paperSize="9" scale="90" fitToHeight="5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Q93"/>
  <sheetViews>
    <sheetView view="pageBreakPreview" topLeftCell="A60" zoomScale="60" zoomScaleNormal="60" workbookViewId="0">
      <selection activeCell="O80" sqref="O80"/>
    </sheetView>
  </sheetViews>
  <sheetFormatPr defaultRowHeight="20.25"/>
  <cols>
    <col min="1" max="1" width="9.85546875" style="1" customWidth="1"/>
    <col min="2" max="2" width="26.140625" style="1" customWidth="1"/>
    <col min="3" max="3" width="11.28515625" style="1" customWidth="1"/>
    <col min="4" max="4" width="15.28515625" style="1" customWidth="1"/>
    <col min="5" max="10" width="18.42578125" style="1" customWidth="1"/>
    <col min="11" max="11" width="18.7109375" style="1" customWidth="1"/>
    <col min="12" max="12" width="19" style="1" customWidth="1"/>
    <col min="13" max="14" width="18.42578125" style="1" customWidth="1"/>
    <col min="15" max="15" width="19.42578125" style="1" customWidth="1"/>
    <col min="16" max="16" width="19.42578125" style="184" customWidth="1"/>
    <col min="17" max="17" width="12.7109375" style="1" bestFit="1" customWidth="1"/>
    <col min="18" max="16384" width="9.140625" style="1"/>
  </cols>
  <sheetData>
    <row r="1" spans="1:17">
      <c r="A1" s="193"/>
      <c r="B1" s="105"/>
      <c r="C1" s="193"/>
      <c r="D1" s="193"/>
      <c r="E1" s="193"/>
      <c r="F1" s="193"/>
      <c r="G1" s="193"/>
      <c r="H1" s="193"/>
      <c r="I1" s="88"/>
      <c r="J1" s="88"/>
      <c r="P1" s="181"/>
    </row>
    <row r="2" spans="1:17" s="9" customFormat="1" ht="42.75" customHeight="1">
      <c r="B2" s="168"/>
      <c r="D2" s="238" t="s">
        <v>216</v>
      </c>
      <c r="E2" s="238"/>
      <c r="F2" s="238"/>
      <c r="G2" s="238"/>
      <c r="H2" s="238"/>
      <c r="I2" s="238"/>
      <c r="J2" s="238"/>
      <c r="K2" s="238"/>
      <c r="L2" s="238"/>
      <c r="M2" s="238"/>
      <c r="P2" s="182"/>
    </row>
    <row r="3" spans="1:17">
      <c r="A3" s="89"/>
      <c r="B3" s="89"/>
      <c r="C3" s="89"/>
      <c r="D3" s="89"/>
      <c r="E3" s="90"/>
      <c r="F3" s="90"/>
      <c r="G3" s="90"/>
      <c r="H3" s="90"/>
      <c r="I3" s="90"/>
      <c r="J3" s="90"/>
      <c r="P3" s="181" t="s">
        <v>51</v>
      </c>
    </row>
    <row r="4" spans="1:17" ht="79.5" customHeight="1">
      <c r="A4" s="211" t="s">
        <v>8</v>
      </c>
      <c r="B4" s="211" t="s">
        <v>20</v>
      </c>
      <c r="C4" s="211"/>
      <c r="D4" s="211"/>
      <c r="E4" s="211" t="s">
        <v>132</v>
      </c>
      <c r="F4" s="211"/>
      <c r="G4" s="211" t="s">
        <v>250</v>
      </c>
      <c r="H4" s="211"/>
      <c r="I4" s="211" t="s">
        <v>133</v>
      </c>
      <c r="J4" s="211"/>
      <c r="K4" s="211" t="s">
        <v>249</v>
      </c>
      <c r="L4" s="211"/>
      <c r="M4" s="211" t="s">
        <v>134</v>
      </c>
      <c r="N4" s="211"/>
      <c r="O4" s="211"/>
      <c r="P4" s="211"/>
    </row>
    <row r="5" spans="1:17" ht="85.5" customHeight="1">
      <c r="A5" s="211"/>
      <c r="B5" s="211"/>
      <c r="C5" s="211"/>
      <c r="D5" s="211"/>
      <c r="E5" s="242" t="s">
        <v>332</v>
      </c>
      <c r="F5" s="242" t="s">
        <v>333</v>
      </c>
      <c r="G5" s="242" t="s">
        <v>332</v>
      </c>
      <c r="H5" s="242" t="s">
        <v>333</v>
      </c>
      <c r="I5" s="242" t="s">
        <v>332</v>
      </c>
      <c r="J5" s="242" t="s">
        <v>333</v>
      </c>
      <c r="K5" s="242" t="s">
        <v>332</v>
      </c>
      <c r="L5" s="242" t="s">
        <v>333</v>
      </c>
      <c r="M5" s="242" t="s">
        <v>332</v>
      </c>
      <c r="N5" s="242" t="s">
        <v>333</v>
      </c>
      <c r="O5" s="192" t="s">
        <v>109</v>
      </c>
      <c r="P5" s="243" t="s">
        <v>112</v>
      </c>
    </row>
    <row r="6" spans="1:17" ht="30" customHeight="1">
      <c r="A6" s="192">
        <v>1</v>
      </c>
      <c r="B6" s="211">
        <v>2</v>
      </c>
      <c r="C6" s="211"/>
      <c r="D6" s="211"/>
      <c r="E6" s="192">
        <v>4</v>
      </c>
      <c r="F6" s="192">
        <v>5</v>
      </c>
      <c r="G6" s="192">
        <v>7</v>
      </c>
      <c r="H6" s="192">
        <v>8</v>
      </c>
      <c r="I6" s="192">
        <v>10</v>
      </c>
      <c r="J6" s="192">
        <v>11</v>
      </c>
      <c r="K6" s="191">
        <v>13</v>
      </c>
      <c r="L6" s="191">
        <v>14</v>
      </c>
      <c r="M6" s="191">
        <v>16</v>
      </c>
      <c r="N6" s="191">
        <v>17</v>
      </c>
      <c r="O6" s="191">
        <v>18</v>
      </c>
      <c r="P6" s="183">
        <v>19</v>
      </c>
    </row>
    <row r="7" spans="1:17" ht="48" customHeight="1">
      <c r="A7" s="190" t="s">
        <v>85</v>
      </c>
      <c r="B7" s="244" t="s">
        <v>95</v>
      </c>
      <c r="C7" s="245"/>
      <c r="D7" s="245"/>
      <c r="E7" s="14">
        <f>SUM(E8:E24)</f>
        <v>0</v>
      </c>
      <c r="F7" s="14">
        <f t="shared" ref="F7:L7" si="0">SUM(F8:F24)</f>
        <v>0</v>
      </c>
      <c r="G7" s="14">
        <f t="shared" si="0"/>
        <v>0</v>
      </c>
      <c r="H7" s="14">
        <f t="shared" si="0"/>
        <v>0</v>
      </c>
      <c r="I7" s="14">
        <f t="shared" si="0"/>
        <v>0</v>
      </c>
      <c r="J7" s="14">
        <f t="shared" si="0"/>
        <v>98.7</v>
      </c>
      <c r="K7" s="14">
        <f t="shared" si="0"/>
        <v>0</v>
      </c>
      <c r="L7" s="14">
        <f t="shared" si="0"/>
        <v>1497.5</v>
      </c>
      <c r="M7" s="14">
        <f>E7+G7+I7+K7</f>
        <v>0</v>
      </c>
      <c r="N7" s="14">
        <f>F7+H7+J7+L7</f>
        <v>1596.2</v>
      </c>
      <c r="O7" s="14">
        <f>N7-M7</f>
        <v>1596.2</v>
      </c>
      <c r="P7" s="91" t="e">
        <f>(N7/M7)*100</f>
        <v>#DIV/0!</v>
      </c>
      <c r="Q7" s="79"/>
    </row>
    <row r="8" spans="1:17" ht="30" customHeight="1">
      <c r="A8" s="190"/>
      <c r="B8" s="239" t="s">
        <v>386</v>
      </c>
      <c r="C8" s="240"/>
      <c r="D8" s="241"/>
      <c r="E8" s="112"/>
      <c r="F8" s="112"/>
      <c r="G8" s="112"/>
      <c r="H8" s="112"/>
      <c r="I8" s="112"/>
      <c r="J8" s="112"/>
      <c r="K8" s="112"/>
      <c r="L8" s="112">
        <v>12.5</v>
      </c>
      <c r="M8" s="14"/>
      <c r="N8" s="14">
        <f t="shared" ref="N8:N24" si="1">F8+H8+J8+L8</f>
        <v>12.5</v>
      </c>
      <c r="O8" s="14">
        <f t="shared" ref="O8:O71" si="2">N8-M8</f>
        <v>12.5</v>
      </c>
      <c r="P8" s="91" t="e">
        <f t="shared" ref="P8:P71" si="3">(N8/M8)*100</f>
        <v>#DIV/0!</v>
      </c>
      <c r="Q8" s="79"/>
    </row>
    <row r="9" spans="1:17" ht="28.5" customHeight="1">
      <c r="A9" s="190"/>
      <c r="B9" s="239" t="s">
        <v>368</v>
      </c>
      <c r="C9" s="240"/>
      <c r="D9" s="241"/>
      <c r="E9" s="112"/>
      <c r="F9" s="112"/>
      <c r="G9" s="112"/>
      <c r="H9" s="112"/>
      <c r="I9" s="112"/>
      <c r="J9" s="112"/>
      <c r="K9" s="112"/>
      <c r="L9" s="112">
        <v>30.6</v>
      </c>
      <c r="M9" s="14"/>
      <c r="N9" s="14">
        <f t="shared" si="1"/>
        <v>30.6</v>
      </c>
      <c r="O9" s="14">
        <f t="shared" si="2"/>
        <v>30.6</v>
      </c>
      <c r="P9" s="91" t="e">
        <f t="shared" si="3"/>
        <v>#DIV/0!</v>
      </c>
      <c r="Q9" s="79"/>
    </row>
    <row r="10" spans="1:17" ht="31.5" customHeight="1">
      <c r="A10" s="190"/>
      <c r="B10" s="239" t="s">
        <v>387</v>
      </c>
      <c r="C10" s="240"/>
      <c r="D10" s="241"/>
      <c r="E10" s="112"/>
      <c r="F10" s="112"/>
      <c r="G10" s="112"/>
      <c r="H10" s="112"/>
      <c r="I10" s="112"/>
      <c r="J10" s="112"/>
      <c r="K10" s="112"/>
      <c r="L10" s="112">
        <v>27.9</v>
      </c>
      <c r="M10" s="14"/>
      <c r="N10" s="14">
        <f t="shared" si="1"/>
        <v>27.9</v>
      </c>
      <c r="O10" s="14">
        <f t="shared" si="2"/>
        <v>27.9</v>
      </c>
      <c r="P10" s="91" t="e">
        <f t="shared" si="3"/>
        <v>#DIV/0!</v>
      </c>
      <c r="Q10" s="79"/>
    </row>
    <row r="11" spans="1:17" ht="27" customHeight="1">
      <c r="A11" s="190"/>
      <c r="B11" s="239" t="s">
        <v>388</v>
      </c>
      <c r="C11" s="240"/>
      <c r="D11" s="241"/>
      <c r="E11" s="112"/>
      <c r="F11" s="112"/>
      <c r="G11" s="112"/>
      <c r="H11" s="112"/>
      <c r="I11" s="112"/>
      <c r="J11" s="112"/>
      <c r="K11" s="112"/>
      <c r="L11" s="112">
        <v>118.4</v>
      </c>
      <c r="M11" s="14"/>
      <c r="N11" s="14">
        <f t="shared" si="1"/>
        <v>118.4</v>
      </c>
      <c r="O11" s="14">
        <f t="shared" si="2"/>
        <v>118.4</v>
      </c>
      <c r="P11" s="91" t="e">
        <f t="shared" si="3"/>
        <v>#DIV/0!</v>
      </c>
      <c r="Q11" s="79"/>
    </row>
    <row r="12" spans="1:17" ht="30" customHeight="1">
      <c r="A12" s="190"/>
      <c r="B12" s="239" t="s">
        <v>389</v>
      </c>
      <c r="C12" s="240"/>
      <c r="D12" s="241"/>
      <c r="E12" s="112"/>
      <c r="F12" s="112"/>
      <c r="G12" s="112"/>
      <c r="H12" s="112"/>
      <c r="I12" s="112"/>
      <c r="J12" s="112"/>
      <c r="K12" s="112"/>
      <c r="L12" s="112">
        <v>13.9</v>
      </c>
      <c r="M12" s="14"/>
      <c r="N12" s="14">
        <f t="shared" si="1"/>
        <v>13.9</v>
      </c>
      <c r="O12" s="14">
        <f t="shared" si="2"/>
        <v>13.9</v>
      </c>
      <c r="P12" s="91" t="e">
        <f t="shared" si="3"/>
        <v>#DIV/0!</v>
      </c>
      <c r="Q12" s="79"/>
    </row>
    <row r="13" spans="1:17" ht="31.5" customHeight="1">
      <c r="A13" s="190"/>
      <c r="B13" s="239" t="s">
        <v>390</v>
      </c>
      <c r="C13" s="240"/>
      <c r="D13" s="241"/>
      <c r="E13" s="112"/>
      <c r="F13" s="112"/>
      <c r="G13" s="112"/>
      <c r="H13" s="112"/>
      <c r="I13" s="112"/>
      <c r="J13" s="112"/>
      <c r="K13" s="112"/>
      <c r="L13" s="112">
        <v>41.8</v>
      </c>
      <c r="M13" s="14"/>
      <c r="N13" s="14">
        <f t="shared" si="1"/>
        <v>41.8</v>
      </c>
      <c r="O13" s="14">
        <f t="shared" si="2"/>
        <v>41.8</v>
      </c>
      <c r="P13" s="91" t="e">
        <f t="shared" si="3"/>
        <v>#DIV/0!</v>
      </c>
      <c r="Q13" s="79"/>
    </row>
    <row r="14" spans="1:17" ht="28.5" customHeight="1">
      <c r="A14" s="190"/>
      <c r="B14" s="239" t="s">
        <v>391</v>
      </c>
      <c r="C14" s="240"/>
      <c r="D14" s="241"/>
      <c r="E14" s="112"/>
      <c r="F14" s="112"/>
      <c r="G14" s="112"/>
      <c r="H14" s="112"/>
      <c r="I14" s="112"/>
      <c r="J14" s="112"/>
      <c r="K14" s="112"/>
      <c r="L14" s="112">
        <v>55.7</v>
      </c>
      <c r="M14" s="14"/>
      <c r="N14" s="14">
        <f t="shared" si="1"/>
        <v>55.7</v>
      </c>
      <c r="O14" s="14">
        <f t="shared" si="2"/>
        <v>55.7</v>
      </c>
      <c r="P14" s="91" t="e">
        <f t="shared" si="3"/>
        <v>#DIV/0!</v>
      </c>
      <c r="Q14" s="79"/>
    </row>
    <row r="15" spans="1:17" ht="28.5" customHeight="1">
      <c r="A15" s="190"/>
      <c r="B15" s="239" t="s">
        <v>392</v>
      </c>
      <c r="C15" s="240"/>
      <c r="D15" s="241"/>
      <c r="E15" s="112"/>
      <c r="F15" s="112"/>
      <c r="G15" s="112"/>
      <c r="H15" s="112"/>
      <c r="I15" s="112"/>
      <c r="J15" s="112"/>
      <c r="K15" s="112"/>
      <c r="L15" s="112">
        <v>33.4</v>
      </c>
      <c r="M15" s="14"/>
      <c r="N15" s="14">
        <f t="shared" si="1"/>
        <v>33.4</v>
      </c>
      <c r="O15" s="14">
        <f t="shared" si="2"/>
        <v>33.4</v>
      </c>
      <c r="P15" s="91" t="e">
        <f t="shared" si="3"/>
        <v>#DIV/0!</v>
      </c>
      <c r="Q15" s="79"/>
    </row>
    <row r="16" spans="1:17" ht="32.25" customHeight="1">
      <c r="A16" s="190"/>
      <c r="B16" s="239" t="s">
        <v>393</v>
      </c>
      <c r="C16" s="240"/>
      <c r="D16" s="241"/>
      <c r="E16" s="112"/>
      <c r="F16" s="112"/>
      <c r="G16" s="112"/>
      <c r="H16" s="112"/>
      <c r="I16" s="112"/>
      <c r="J16" s="112"/>
      <c r="K16" s="112"/>
      <c r="L16" s="112">
        <v>8.4</v>
      </c>
      <c r="M16" s="14"/>
      <c r="N16" s="14">
        <f t="shared" si="1"/>
        <v>8.4</v>
      </c>
      <c r="O16" s="14">
        <f t="shared" si="2"/>
        <v>8.4</v>
      </c>
      <c r="P16" s="91" t="e">
        <f t="shared" si="3"/>
        <v>#DIV/0!</v>
      </c>
      <c r="Q16" s="79"/>
    </row>
    <row r="17" spans="1:17" ht="31.5" customHeight="1">
      <c r="A17" s="190"/>
      <c r="B17" s="239" t="s">
        <v>394</v>
      </c>
      <c r="C17" s="240"/>
      <c r="D17" s="241"/>
      <c r="E17" s="112"/>
      <c r="F17" s="112"/>
      <c r="G17" s="112"/>
      <c r="H17" s="112"/>
      <c r="I17" s="112"/>
      <c r="J17" s="112"/>
      <c r="K17" s="112"/>
      <c r="L17" s="112">
        <v>75.2</v>
      </c>
      <c r="M17" s="14"/>
      <c r="N17" s="14">
        <f t="shared" si="1"/>
        <v>75.2</v>
      </c>
      <c r="O17" s="14">
        <f t="shared" si="2"/>
        <v>75.2</v>
      </c>
      <c r="P17" s="91" t="e">
        <f t="shared" si="3"/>
        <v>#DIV/0!</v>
      </c>
      <c r="Q17" s="79"/>
    </row>
    <row r="18" spans="1:17" ht="28.5" customHeight="1">
      <c r="A18" s="190"/>
      <c r="B18" s="239" t="s">
        <v>395</v>
      </c>
      <c r="C18" s="240"/>
      <c r="D18" s="241"/>
      <c r="E18" s="112"/>
      <c r="F18" s="112"/>
      <c r="G18" s="112"/>
      <c r="H18" s="112"/>
      <c r="I18" s="112"/>
      <c r="J18" s="112"/>
      <c r="K18" s="112"/>
      <c r="L18" s="112">
        <v>224.1</v>
      </c>
      <c r="M18" s="14"/>
      <c r="N18" s="14">
        <f t="shared" si="1"/>
        <v>224.1</v>
      </c>
      <c r="O18" s="14">
        <f t="shared" si="2"/>
        <v>224.1</v>
      </c>
      <c r="P18" s="91" t="e">
        <f t="shared" si="3"/>
        <v>#DIV/0!</v>
      </c>
      <c r="Q18" s="79"/>
    </row>
    <row r="19" spans="1:17" ht="30" customHeight="1">
      <c r="A19" s="190"/>
      <c r="B19" s="239" t="s">
        <v>396</v>
      </c>
      <c r="C19" s="240"/>
      <c r="D19" s="241"/>
      <c r="E19" s="112"/>
      <c r="F19" s="112"/>
      <c r="G19" s="112"/>
      <c r="H19" s="112"/>
      <c r="I19" s="112"/>
      <c r="J19" s="112">
        <v>98.7</v>
      </c>
      <c r="K19" s="112"/>
      <c r="L19" s="112"/>
      <c r="M19" s="14"/>
      <c r="N19" s="14">
        <f t="shared" si="1"/>
        <v>98.7</v>
      </c>
      <c r="O19" s="14">
        <f t="shared" si="2"/>
        <v>98.7</v>
      </c>
      <c r="P19" s="91" t="e">
        <f t="shared" si="3"/>
        <v>#DIV/0!</v>
      </c>
      <c r="Q19" s="79"/>
    </row>
    <row r="20" spans="1:17" ht="48" customHeight="1">
      <c r="A20" s="190"/>
      <c r="B20" s="239" t="s">
        <v>397</v>
      </c>
      <c r="C20" s="240"/>
      <c r="D20" s="241"/>
      <c r="E20" s="112"/>
      <c r="F20" s="112"/>
      <c r="G20" s="112"/>
      <c r="H20" s="112"/>
      <c r="I20" s="112"/>
      <c r="J20" s="112"/>
      <c r="K20" s="112"/>
      <c r="L20" s="112">
        <v>95</v>
      </c>
      <c r="M20" s="14"/>
      <c r="N20" s="14">
        <f t="shared" si="1"/>
        <v>95</v>
      </c>
      <c r="O20" s="14">
        <f t="shared" si="2"/>
        <v>95</v>
      </c>
      <c r="P20" s="91" t="e">
        <f t="shared" si="3"/>
        <v>#DIV/0!</v>
      </c>
      <c r="Q20" s="79"/>
    </row>
    <row r="21" spans="1:17" ht="48" customHeight="1">
      <c r="A21" s="190"/>
      <c r="B21" s="239" t="s">
        <v>398</v>
      </c>
      <c r="C21" s="240"/>
      <c r="D21" s="241"/>
      <c r="E21" s="112"/>
      <c r="F21" s="112"/>
      <c r="G21" s="112"/>
      <c r="H21" s="112"/>
      <c r="I21" s="112"/>
      <c r="J21" s="112"/>
      <c r="K21" s="112"/>
      <c r="L21" s="112">
        <v>93</v>
      </c>
      <c r="M21" s="14"/>
      <c r="N21" s="14">
        <f t="shared" si="1"/>
        <v>93</v>
      </c>
      <c r="O21" s="14">
        <f t="shared" si="2"/>
        <v>93</v>
      </c>
      <c r="P21" s="91" t="e">
        <f t="shared" si="3"/>
        <v>#DIV/0!</v>
      </c>
      <c r="Q21" s="79"/>
    </row>
    <row r="22" spans="1:17" ht="30" customHeight="1">
      <c r="A22" s="190"/>
      <c r="B22" s="239" t="s">
        <v>399</v>
      </c>
      <c r="C22" s="240"/>
      <c r="D22" s="241"/>
      <c r="E22" s="112"/>
      <c r="F22" s="112"/>
      <c r="G22" s="112"/>
      <c r="H22" s="112"/>
      <c r="I22" s="112"/>
      <c r="J22" s="112"/>
      <c r="K22" s="112"/>
      <c r="L22" s="112">
        <v>53.3</v>
      </c>
      <c r="M22" s="14"/>
      <c r="N22" s="14">
        <f t="shared" si="1"/>
        <v>53.3</v>
      </c>
      <c r="O22" s="14">
        <f t="shared" si="2"/>
        <v>53.3</v>
      </c>
      <c r="P22" s="91" t="e">
        <f t="shared" si="3"/>
        <v>#DIV/0!</v>
      </c>
      <c r="Q22" s="79"/>
    </row>
    <row r="23" spans="1:17" ht="28.5" customHeight="1">
      <c r="A23" s="190"/>
      <c r="B23" s="239" t="s">
        <v>400</v>
      </c>
      <c r="C23" s="240"/>
      <c r="D23" s="241"/>
      <c r="E23" s="112"/>
      <c r="F23" s="112"/>
      <c r="G23" s="112"/>
      <c r="H23" s="112"/>
      <c r="I23" s="112"/>
      <c r="J23" s="112"/>
      <c r="K23" s="112"/>
      <c r="L23" s="112">
        <v>46.5</v>
      </c>
      <c r="M23" s="14"/>
      <c r="N23" s="14">
        <f t="shared" si="1"/>
        <v>46.5</v>
      </c>
      <c r="O23" s="14">
        <f t="shared" si="2"/>
        <v>46.5</v>
      </c>
      <c r="P23" s="91" t="e">
        <f t="shared" si="3"/>
        <v>#DIV/0!</v>
      </c>
      <c r="Q23" s="79"/>
    </row>
    <row r="24" spans="1:17" ht="47.25" customHeight="1">
      <c r="A24" s="190"/>
      <c r="B24" s="239" t="s">
        <v>401</v>
      </c>
      <c r="C24" s="240"/>
      <c r="D24" s="241"/>
      <c r="E24" s="112"/>
      <c r="F24" s="112"/>
      <c r="G24" s="112"/>
      <c r="H24" s="112"/>
      <c r="I24" s="112"/>
      <c r="J24" s="112"/>
      <c r="K24" s="112"/>
      <c r="L24" s="112">
        <v>567.79999999999995</v>
      </c>
      <c r="M24" s="14"/>
      <c r="N24" s="14">
        <f t="shared" si="1"/>
        <v>567.79999999999995</v>
      </c>
      <c r="O24" s="14">
        <f t="shared" si="2"/>
        <v>567.79999999999995</v>
      </c>
      <c r="P24" s="91" t="e">
        <f t="shared" si="3"/>
        <v>#DIV/0!</v>
      </c>
      <c r="Q24" s="79"/>
    </row>
    <row r="25" spans="1:17" ht="72" customHeight="1">
      <c r="A25" s="190" t="s">
        <v>94</v>
      </c>
      <c r="B25" s="244" t="s">
        <v>96</v>
      </c>
      <c r="C25" s="245"/>
      <c r="D25" s="245"/>
      <c r="E25" s="14">
        <f t="shared" ref="E25:I25" si="4">SUM(E26:E72)</f>
        <v>0</v>
      </c>
      <c r="F25" s="14">
        <f t="shared" si="4"/>
        <v>0</v>
      </c>
      <c r="G25" s="14">
        <f t="shared" si="4"/>
        <v>0</v>
      </c>
      <c r="H25" s="14">
        <f t="shared" si="4"/>
        <v>0</v>
      </c>
      <c r="I25" s="14">
        <f t="shared" si="4"/>
        <v>0</v>
      </c>
      <c r="J25" s="14">
        <f>SUM(J26:J72)</f>
        <v>150.80000000000001</v>
      </c>
      <c r="K25" s="14">
        <f t="shared" ref="K25" si="5">SUM(K26:K72)</f>
        <v>0</v>
      </c>
      <c r="L25" s="14">
        <f t="shared" ref="L25" si="6">SUM(L26:L72)</f>
        <v>329.20000000000005</v>
      </c>
      <c r="M25" s="14">
        <f t="shared" ref="M25" si="7">SUM(M26:M72)</f>
        <v>0</v>
      </c>
      <c r="N25" s="14">
        <f>F25+H25+J25+L25</f>
        <v>480.00000000000006</v>
      </c>
      <c r="O25" s="14">
        <f t="shared" si="2"/>
        <v>480.00000000000006</v>
      </c>
      <c r="P25" s="91" t="e">
        <f t="shared" si="3"/>
        <v>#DIV/0!</v>
      </c>
    </row>
    <row r="26" spans="1:17" ht="33.75" customHeight="1">
      <c r="A26" s="190"/>
      <c r="B26" s="239" t="s">
        <v>384</v>
      </c>
      <c r="C26" s="240"/>
      <c r="D26" s="241"/>
      <c r="E26" s="18"/>
      <c r="F26" s="18"/>
      <c r="G26" s="18"/>
      <c r="H26" s="18"/>
      <c r="I26" s="18"/>
      <c r="J26" s="18"/>
      <c r="K26" s="18"/>
      <c r="L26" s="18">
        <v>97.9</v>
      </c>
      <c r="M26" s="18"/>
      <c r="N26" s="14">
        <f t="shared" ref="N26:N46" si="8">F26+H26+J26+L26</f>
        <v>97.9</v>
      </c>
      <c r="O26" s="14">
        <f t="shared" si="2"/>
        <v>97.9</v>
      </c>
      <c r="P26" s="91" t="e">
        <f t="shared" si="3"/>
        <v>#DIV/0!</v>
      </c>
    </row>
    <row r="27" spans="1:17" ht="49.5" customHeight="1">
      <c r="A27" s="190"/>
      <c r="B27" s="239" t="s">
        <v>385</v>
      </c>
      <c r="C27" s="240"/>
      <c r="D27" s="241"/>
      <c r="E27" s="18"/>
      <c r="F27" s="18"/>
      <c r="G27" s="18"/>
      <c r="H27" s="18"/>
      <c r="I27" s="18"/>
      <c r="J27" s="18">
        <v>27.2</v>
      </c>
      <c r="K27" s="18"/>
      <c r="L27" s="18"/>
      <c r="M27" s="18"/>
      <c r="N27" s="14">
        <f t="shared" si="8"/>
        <v>27.2</v>
      </c>
      <c r="O27" s="14">
        <f t="shared" si="2"/>
        <v>27.2</v>
      </c>
      <c r="P27" s="91" t="e">
        <f t="shared" si="3"/>
        <v>#DIV/0!</v>
      </c>
    </row>
    <row r="28" spans="1:17" ht="36" customHeight="1">
      <c r="A28" s="190"/>
      <c r="B28" s="246" t="s">
        <v>339</v>
      </c>
      <c r="C28" s="247"/>
      <c r="D28" s="248"/>
      <c r="E28" s="18"/>
      <c r="F28" s="18"/>
      <c r="G28" s="18"/>
      <c r="H28" s="18"/>
      <c r="I28" s="18"/>
      <c r="J28" s="18">
        <v>14.5</v>
      </c>
      <c r="K28" s="18"/>
      <c r="L28" s="18"/>
      <c r="M28" s="18"/>
      <c r="N28" s="14">
        <f t="shared" si="8"/>
        <v>14.5</v>
      </c>
      <c r="O28" s="14">
        <f t="shared" si="2"/>
        <v>14.5</v>
      </c>
      <c r="P28" s="91" t="e">
        <f t="shared" si="3"/>
        <v>#DIV/0!</v>
      </c>
    </row>
    <row r="29" spans="1:17" ht="31.5" customHeight="1">
      <c r="A29" s="190"/>
      <c r="B29" s="246" t="s">
        <v>340</v>
      </c>
      <c r="C29" s="247"/>
      <c r="D29" s="248"/>
      <c r="E29" s="18"/>
      <c r="F29" s="18"/>
      <c r="G29" s="18"/>
      <c r="H29" s="18"/>
      <c r="I29" s="18"/>
      <c r="J29" s="18">
        <v>21.8</v>
      </c>
      <c r="K29" s="18"/>
      <c r="L29" s="18"/>
      <c r="M29" s="18"/>
      <c r="N29" s="14">
        <f t="shared" si="8"/>
        <v>21.8</v>
      </c>
      <c r="O29" s="14">
        <f t="shared" si="2"/>
        <v>21.8</v>
      </c>
      <c r="P29" s="91" t="e">
        <f t="shared" si="3"/>
        <v>#DIV/0!</v>
      </c>
    </row>
    <row r="30" spans="1:17" ht="34.5" customHeight="1">
      <c r="A30" s="190"/>
      <c r="B30" s="246" t="s">
        <v>341</v>
      </c>
      <c r="C30" s="247"/>
      <c r="D30" s="248"/>
      <c r="E30" s="18"/>
      <c r="F30" s="18"/>
      <c r="G30" s="18"/>
      <c r="H30" s="18"/>
      <c r="I30" s="18"/>
      <c r="J30" s="18">
        <v>5.7</v>
      </c>
      <c r="K30" s="18"/>
      <c r="L30" s="18"/>
      <c r="M30" s="18"/>
      <c r="N30" s="14">
        <f t="shared" si="8"/>
        <v>5.7</v>
      </c>
      <c r="O30" s="14">
        <f t="shared" si="2"/>
        <v>5.7</v>
      </c>
      <c r="P30" s="91" t="e">
        <f t="shared" si="3"/>
        <v>#DIV/0!</v>
      </c>
    </row>
    <row r="31" spans="1:17" ht="36" customHeight="1">
      <c r="A31" s="190"/>
      <c r="B31" s="246" t="s">
        <v>342</v>
      </c>
      <c r="C31" s="247"/>
      <c r="D31" s="248"/>
      <c r="E31" s="18"/>
      <c r="F31" s="18"/>
      <c r="G31" s="18"/>
      <c r="H31" s="18"/>
      <c r="I31" s="18"/>
      <c r="J31" s="18">
        <v>2.9</v>
      </c>
      <c r="K31" s="18"/>
      <c r="L31" s="18"/>
      <c r="M31" s="18"/>
      <c r="N31" s="14">
        <f t="shared" si="8"/>
        <v>2.9</v>
      </c>
      <c r="O31" s="14">
        <f t="shared" si="2"/>
        <v>2.9</v>
      </c>
      <c r="P31" s="91" t="e">
        <f t="shared" si="3"/>
        <v>#DIV/0!</v>
      </c>
    </row>
    <row r="32" spans="1:17" ht="31.5" customHeight="1">
      <c r="A32" s="190"/>
      <c r="B32" s="246" t="s">
        <v>343</v>
      </c>
      <c r="C32" s="247"/>
      <c r="D32" s="248"/>
      <c r="E32" s="18"/>
      <c r="F32" s="18"/>
      <c r="G32" s="18"/>
      <c r="H32" s="18"/>
      <c r="I32" s="18"/>
      <c r="J32" s="18">
        <v>1.3</v>
      </c>
      <c r="K32" s="18"/>
      <c r="L32" s="18"/>
      <c r="M32" s="18"/>
      <c r="N32" s="14">
        <f t="shared" si="8"/>
        <v>1.3</v>
      </c>
      <c r="O32" s="14">
        <f t="shared" si="2"/>
        <v>1.3</v>
      </c>
      <c r="P32" s="91" t="e">
        <f t="shared" si="3"/>
        <v>#DIV/0!</v>
      </c>
    </row>
    <row r="33" spans="1:16" ht="36" customHeight="1">
      <c r="A33" s="190"/>
      <c r="B33" s="246" t="s">
        <v>344</v>
      </c>
      <c r="C33" s="247"/>
      <c r="D33" s="248"/>
      <c r="E33" s="18"/>
      <c r="F33" s="18"/>
      <c r="G33" s="18"/>
      <c r="H33" s="18"/>
      <c r="I33" s="18"/>
      <c r="J33" s="18"/>
      <c r="K33" s="18"/>
      <c r="L33" s="18">
        <v>59.9</v>
      </c>
      <c r="M33" s="18"/>
      <c r="N33" s="14">
        <f t="shared" si="8"/>
        <v>59.9</v>
      </c>
      <c r="O33" s="14">
        <f t="shared" si="2"/>
        <v>59.9</v>
      </c>
      <c r="P33" s="91" t="e">
        <f t="shared" si="3"/>
        <v>#DIV/0!</v>
      </c>
    </row>
    <row r="34" spans="1:16" ht="46.5" customHeight="1">
      <c r="A34" s="190"/>
      <c r="B34" s="239" t="s">
        <v>345</v>
      </c>
      <c r="C34" s="240"/>
      <c r="D34" s="241"/>
      <c r="E34" s="18"/>
      <c r="F34" s="18"/>
      <c r="G34" s="18"/>
      <c r="H34" s="18"/>
      <c r="I34" s="18"/>
      <c r="J34" s="18">
        <v>29.4</v>
      </c>
      <c r="K34" s="18"/>
      <c r="L34" s="18"/>
      <c r="M34" s="18"/>
      <c r="N34" s="14">
        <f t="shared" si="8"/>
        <v>29.4</v>
      </c>
      <c r="O34" s="14">
        <f t="shared" si="2"/>
        <v>29.4</v>
      </c>
      <c r="P34" s="91" t="e">
        <f t="shared" si="3"/>
        <v>#DIV/0!</v>
      </c>
    </row>
    <row r="35" spans="1:16" ht="51" customHeight="1">
      <c r="A35" s="190"/>
      <c r="B35" s="239" t="s">
        <v>346</v>
      </c>
      <c r="C35" s="240"/>
      <c r="D35" s="241"/>
      <c r="E35" s="18"/>
      <c r="F35" s="18"/>
      <c r="G35" s="18"/>
      <c r="H35" s="18"/>
      <c r="I35" s="18"/>
      <c r="J35" s="18">
        <v>4.9000000000000004</v>
      </c>
      <c r="K35" s="18"/>
      <c r="L35" s="18"/>
      <c r="M35" s="18"/>
      <c r="N35" s="14">
        <f t="shared" si="8"/>
        <v>4.9000000000000004</v>
      </c>
      <c r="O35" s="14">
        <f t="shared" si="2"/>
        <v>4.9000000000000004</v>
      </c>
      <c r="P35" s="91" t="e">
        <f t="shared" si="3"/>
        <v>#DIV/0!</v>
      </c>
    </row>
    <row r="36" spans="1:16" ht="34.5" customHeight="1">
      <c r="A36" s="190"/>
      <c r="B36" s="239" t="s">
        <v>347</v>
      </c>
      <c r="C36" s="240"/>
      <c r="D36" s="241"/>
      <c r="E36" s="18"/>
      <c r="F36" s="18"/>
      <c r="G36" s="18"/>
      <c r="H36" s="18"/>
      <c r="I36" s="18"/>
      <c r="J36" s="18">
        <v>20.9</v>
      </c>
      <c r="K36" s="18"/>
      <c r="L36" s="18"/>
      <c r="M36" s="18"/>
      <c r="N36" s="14">
        <f t="shared" si="8"/>
        <v>20.9</v>
      </c>
      <c r="O36" s="14">
        <f t="shared" si="2"/>
        <v>20.9</v>
      </c>
      <c r="P36" s="91" t="e">
        <f t="shared" si="3"/>
        <v>#DIV/0!</v>
      </c>
    </row>
    <row r="37" spans="1:16" ht="36" customHeight="1">
      <c r="A37" s="190"/>
      <c r="B37" s="246" t="s">
        <v>348</v>
      </c>
      <c r="C37" s="247"/>
      <c r="D37" s="248"/>
      <c r="E37" s="18"/>
      <c r="F37" s="18"/>
      <c r="G37" s="18"/>
      <c r="H37" s="18"/>
      <c r="I37" s="18"/>
      <c r="J37" s="18"/>
      <c r="K37" s="18"/>
      <c r="L37" s="18">
        <v>16.3</v>
      </c>
      <c r="M37" s="18"/>
      <c r="N37" s="14">
        <f t="shared" si="8"/>
        <v>16.3</v>
      </c>
      <c r="O37" s="14">
        <f t="shared" si="2"/>
        <v>16.3</v>
      </c>
      <c r="P37" s="91" t="e">
        <f t="shared" si="3"/>
        <v>#DIV/0!</v>
      </c>
    </row>
    <row r="38" spans="1:16" ht="33" customHeight="1">
      <c r="A38" s="190"/>
      <c r="B38" s="246" t="s">
        <v>349</v>
      </c>
      <c r="C38" s="247"/>
      <c r="D38" s="248"/>
      <c r="E38" s="18"/>
      <c r="F38" s="18"/>
      <c r="G38" s="18"/>
      <c r="H38" s="18"/>
      <c r="I38" s="18"/>
      <c r="J38" s="18"/>
      <c r="K38" s="18"/>
      <c r="L38" s="18">
        <v>18.8</v>
      </c>
      <c r="M38" s="18"/>
      <c r="N38" s="14">
        <f t="shared" si="8"/>
        <v>18.8</v>
      </c>
      <c r="O38" s="14">
        <f t="shared" si="2"/>
        <v>18.8</v>
      </c>
      <c r="P38" s="91" t="e">
        <f t="shared" si="3"/>
        <v>#DIV/0!</v>
      </c>
    </row>
    <row r="39" spans="1:16" ht="51" customHeight="1">
      <c r="A39" s="190"/>
      <c r="B39" s="239" t="s">
        <v>350</v>
      </c>
      <c r="C39" s="240"/>
      <c r="D39" s="241"/>
      <c r="E39" s="18"/>
      <c r="F39" s="18"/>
      <c r="G39" s="18"/>
      <c r="H39" s="18"/>
      <c r="I39" s="18"/>
      <c r="J39" s="18"/>
      <c r="K39" s="18"/>
      <c r="L39" s="18">
        <v>33</v>
      </c>
      <c r="M39" s="18"/>
      <c r="N39" s="14">
        <f t="shared" si="8"/>
        <v>33</v>
      </c>
      <c r="O39" s="14">
        <f t="shared" si="2"/>
        <v>33</v>
      </c>
      <c r="P39" s="91" t="e">
        <f t="shared" si="3"/>
        <v>#DIV/0!</v>
      </c>
    </row>
    <row r="40" spans="1:16" ht="33" customHeight="1">
      <c r="A40" s="190"/>
      <c r="B40" s="246" t="s">
        <v>351</v>
      </c>
      <c r="C40" s="247"/>
      <c r="D40" s="248"/>
      <c r="E40" s="18"/>
      <c r="F40" s="18"/>
      <c r="G40" s="18"/>
      <c r="H40" s="18"/>
      <c r="I40" s="18"/>
      <c r="J40" s="18"/>
      <c r="K40" s="18"/>
      <c r="L40" s="18">
        <v>31.5</v>
      </c>
      <c r="M40" s="18"/>
      <c r="N40" s="14">
        <f t="shared" si="8"/>
        <v>31.5</v>
      </c>
      <c r="O40" s="14">
        <f t="shared" si="2"/>
        <v>31.5</v>
      </c>
      <c r="P40" s="91" t="e">
        <f t="shared" si="3"/>
        <v>#DIV/0!</v>
      </c>
    </row>
    <row r="41" spans="1:16" ht="45.75" customHeight="1">
      <c r="A41" s="190"/>
      <c r="B41" s="239" t="s">
        <v>352</v>
      </c>
      <c r="C41" s="240"/>
      <c r="D41" s="241"/>
      <c r="E41" s="18"/>
      <c r="F41" s="18"/>
      <c r="G41" s="18"/>
      <c r="H41" s="18"/>
      <c r="I41" s="18"/>
      <c r="J41" s="18"/>
      <c r="K41" s="18"/>
      <c r="L41" s="18">
        <v>13</v>
      </c>
      <c r="M41" s="18"/>
      <c r="N41" s="14">
        <f t="shared" si="8"/>
        <v>13</v>
      </c>
      <c r="O41" s="14">
        <f t="shared" si="2"/>
        <v>13</v>
      </c>
      <c r="P41" s="91" t="e">
        <f t="shared" si="3"/>
        <v>#DIV/0!</v>
      </c>
    </row>
    <row r="42" spans="1:16" ht="46.5" customHeight="1">
      <c r="A42" s="190"/>
      <c r="B42" s="239" t="s">
        <v>353</v>
      </c>
      <c r="C42" s="240"/>
      <c r="D42" s="241"/>
      <c r="E42" s="18"/>
      <c r="F42" s="18"/>
      <c r="G42" s="18"/>
      <c r="H42" s="18"/>
      <c r="I42" s="18"/>
      <c r="J42" s="18"/>
      <c r="K42" s="18"/>
      <c r="L42" s="18">
        <v>3.7</v>
      </c>
      <c r="M42" s="18"/>
      <c r="N42" s="14">
        <f t="shared" si="8"/>
        <v>3.7</v>
      </c>
      <c r="O42" s="14">
        <f t="shared" si="2"/>
        <v>3.7</v>
      </c>
      <c r="P42" s="91" t="e">
        <f t="shared" si="3"/>
        <v>#DIV/0!</v>
      </c>
    </row>
    <row r="43" spans="1:16" ht="36" customHeight="1">
      <c r="A43" s="190"/>
      <c r="B43" s="246" t="s">
        <v>354</v>
      </c>
      <c r="C43" s="247"/>
      <c r="D43" s="248"/>
      <c r="E43" s="18"/>
      <c r="F43" s="18"/>
      <c r="G43" s="18"/>
      <c r="H43" s="18"/>
      <c r="I43" s="18"/>
      <c r="J43" s="18"/>
      <c r="K43" s="18"/>
      <c r="L43" s="18">
        <v>7.7</v>
      </c>
      <c r="M43" s="18"/>
      <c r="N43" s="14">
        <f t="shared" si="8"/>
        <v>7.7</v>
      </c>
      <c r="O43" s="14">
        <f t="shared" si="2"/>
        <v>7.7</v>
      </c>
      <c r="P43" s="91" t="e">
        <f t="shared" si="3"/>
        <v>#DIV/0!</v>
      </c>
    </row>
    <row r="44" spans="1:16" ht="33" customHeight="1">
      <c r="A44" s="190"/>
      <c r="B44" s="239" t="s">
        <v>355</v>
      </c>
      <c r="C44" s="240"/>
      <c r="D44" s="241"/>
      <c r="E44" s="18"/>
      <c r="F44" s="18"/>
      <c r="G44" s="18"/>
      <c r="H44" s="18"/>
      <c r="I44" s="18"/>
      <c r="J44" s="18">
        <v>10.7</v>
      </c>
      <c r="K44" s="18"/>
      <c r="L44" s="18"/>
      <c r="M44" s="18"/>
      <c r="N44" s="14">
        <f t="shared" si="8"/>
        <v>10.7</v>
      </c>
      <c r="O44" s="14">
        <f t="shared" si="2"/>
        <v>10.7</v>
      </c>
      <c r="P44" s="91" t="e">
        <f t="shared" si="3"/>
        <v>#DIV/0!</v>
      </c>
    </row>
    <row r="45" spans="1:16" ht="58.5" customHeight="1">
      <c r="A45" s="190"/>
      <c r="B45" s="239" t="s">
        <v>356</v>
      </c>
      <c r="C45" s="240"/>
      <c r="D45" s="241"/>
      <c r="E45" s="18"/>
      <c r="F45" s="18"/>
      <c r="G45" s="18"/>
      <c r="H45" s="18"/>
      <c r="I45" s="18"/>
      <c r="J45" s="18"/>
      <c r="K45" s="18"/>
      <c r="L45" s="18">
        <v>8.1</v>
      </c>
      <c r="M45" s="18"/>
      <c r="N45" s="14">
        <f t="shared" si="8"/>
        <v>8.1</v>
      </c>
      <c r="O45" s="14">
        <f t="shared" si="2"/>
        <v>8.1</v>
      </c>
      <c r="P45" s="91" t="e">
        <f t="shared" si="3"/>
        <v>#DIV/0!</v>
      </c>
    </row>
    <row r="46" spans="1:16" ht="58.5" customHeight="1">
      <c r="A46" s="190"/>
      <c r="B46" s="239" t="s">
        <v>357</v>
      </c>
      <c r="C46" s="240"/>
      <c r="D46" s="241"/>
      <c r="E46" s="18"/>
      <c r="F46" s="18"/>
      <c r="G46" s="18"/>
      <c r="H46" s="18"/>
      <c r="I46" s="18"/>
      <c r="J46" s="18"/>
      <c r="K46" s="18"/>
      <c r="L46" s="18">
        <v>7.8</v>
      </c>
      <c r="M46" s="18"/>
      <c r="N46" s="14">
        <f t="shared" si="8"/>
        <v>7.8</v>
      </c>
      <c r="O46" s="14">
        <f t="shared" si="2"/>
        <v>7.8</v>
      </c>
      <c r="P46" s="91" t="e">
        <f t="shared" si="3"/>
        <v>#DIV/0!</v>
      </c>
    </row>
    <row r="47" spans="1:16" ht="33" customHeight="1">
      <c r="A47" s="190"/>
      <c r="B47" s="246" t="s">
        <v>358</v>
      </c>
      <c r="C47" s="247"/>
      <c r="D47" s="248"/>
      <c r="E47" s="18"/>
      <c r="F47" s="18"/>
      <c r="G47" s="18"/>
      <c r="H47" s="18"/>
      <c r="I47" s="18"/>
      <c r="J47" s="18"/>
      <c r="K47" s="18"/>
      <c r="L47" s="18">
        <v>6</v>
      </c>
      <c r="M47" s="18">
        <f t="shared" ref="M47:M74" si="9">E47+G47+I47+K47</f>
        <v>0</v>
      </c>
      <c r="N47" s="14">
        <f t="shared" ref="N47:N72" si="10">F47+H47+J47+L47</f>
        <v>6</v>
      </c>
      <c r="O47" s="14">
        <f t="shared" si="2"/>
        <v>6</v>
      </c>
      <c r="P47" s="91" t="e">
        <f t="shared" si="3"/>
        <v>#DIV/0!</v>
      </c>
    </row>
    <row r="48" spans="1:16" ht="33" customHeight="1">
      <c r="A48" s="190"/>
      <c r="B48" s="246" t="s">
        <v>359</v>
      </c>
      <c r="C48" s="247"/>
      <c r="D48" s="248"/>
      <c r="E48" s="18"/>
      <c r="F48" s="18"/>
      <c r="G48" s="18"/>
      <c r="H48" s="18"/>
      <c r="I48" s="18"/>
      <c r="J48" s="18"/>
      <c r="K48" s="18"/>
      <c r="L48" s="18">
        <v>1.7</v>
      </c>
      <c r="M48" s="18">
        <f t="shared" si="9"/>
        <v>0</v>
      </c>
      <c r="N48" s="14">
        <f t="shared" si="10"/>
        <v>1.7</v>
      </c>
      <c r="O48" s="14">
        <f t="shared" si="2"/>
        <v>1.7</v>
      </c>
      <c r="P48" s="91" t="e">
        <f t="shared" si="3"/>
        <v>#DIV/0!</v>
      </c>
    </row>
    <row r="49" spans="1:16" ht="29.25" customHeight="1">
      <c r="A49" s="190"/>
      <c r="B49" s="246" t="s">
        <v>360</v>
      </c>
      <c r="C49" s="247"/>
      <c r="D49" s="248"/>
      <c r="E49" s="18"/>
      <c r="F49" s="18"/>
      <c r="G49" s="18"/>
      <c r="H49" s="18"/>
      <c r="I49" s="18"/>
      <c r="J49" s="18">
        <v>7.5</v>
      </c>
      <c r="K49" s="18"/>
      <c r="L49" s="18"/>
      <c r="M49" s="18">
        <f t="shared" si="9"/>
        <v>0</v>
      </c>
      <c r="N49" s="14">
        <f t="shared" si="10"/>
        <v>7.5</v>
      </c>
      <c r="O49" s="14">
        <f t="shared" si="2"/>
        <v>7.5</v>
      </c>
      <c r="P49" s="91" t="e">
        <f t="shared" si="3"/>
        <v>#DIV/0!</v>
      </c>
    </row>
    <row r="50" spans="1:16" ht="33" customHeight="1">
      <c r="A50" s="190"/>
      <c r="B50" s="246" t="s">
        <v>361</v>
      </c>
      <c r="C50" s="247"/>
      <c r="D50" s="248"/>
      <c r="E50" s="112"/>
      <c r="F50" s="112"/>
      <c r="G50" s="112"/>
      <c r="H50" s="112"/>
      <c r="I50" s="112"/>
      <c r="J50" s="112"/>
      <c r="K50" s="18"/>
      <c r="L50" s="18">
        <v>4</v>
      </c>
      <c r="M50" s="18">
        <f t="shared" si="9"/>
        <v>0</v>
      </c>
      <c r="N50" s="14">
        <f t="shared" si="10"/>
        <v>4</v>
      </c>
      <c r="O50" s="14">
        <f t="shared" si="2"/>
        <v>4</v>
      </c>
      <c r="P50" s="91" t="e">
        <f t="shared" si="3"/>
        <v>#DIV/0!</v>
      </c>
    </row>
    <row r="51" spans="1:16" ht="33" customHeight="1">
      <c r="A51" s="190"/>
      <c r="B51" s="246" t="s">
        <v>362</v>
      </c>
      <c r="C51" s="247"/>
      <c r="D51" s="248"/>
      <c r="E51" s="18"/>
      <c r="F51" s="18"/>
      <c r="G51" s="18"/>
      <c r="H51" s="18"/>
      <c r="I51" s="18"/>
      <c r="J51" s="18"/>
      <c r="K51" s="18"/>
      <c r="L51" s="18">
        <v>1.9</v>
      </c>
      <c r="M51" s="18">
        <f t="shared" si="9"/>
        <v>0</v>
      </c>
      <c r="N51" s="14">
        <f t="shared" si="10"/>
        <v>1.9</v>
      </c>
      <c r="O51" s="14">
        <f t="shared" si="2"/>
        <v>1.9</v>
      </c>
      <c r="P51" s="91" t="e">
        <f t="shared" si="3"/>
        <v>#DIV/0!</v>
      </c>
    </row>
    <row r="52" spans="1:16" ht="32.25" customHeight="1">
      <c r="A52" s="190"/>
      <c r="B52" s="246" t="s">
        <v>363</v>
      </c>
      <c r="C52" s="247"/>
      <c r="D52" s="248"/>
      <c r="E52" s="18"/>
      <c r="F52" s="18"/>
      <c r="G52" s="18"/>
      <c r="H52" s="18"/>
      <c r="I52" s="18"/>
      <c r="J52" s="18"/>
      <c r="K52" s="18"/>
      <c r="L52" s="18">
        <v>3.6</v>
      </c>
      <c r="M52" s="18">
        <f t="shared" si="9"/>
        <v>0</v>
      </c>
      <c r="N52" s="14">
        <f t="shared" si="10"/>
        <v>3.6</v>
      </c>
      <c r="O52" s="14">
        <f t="shared" si="2"/>
        <v>3.6</v>
      </c>
      <c r="P52" s="91" t="e">
        <f t="shared" si="3"/>
        <v>#DIV/0!</v>
      </c>
    </row>
    <row r="53" spans="1:16" ht="30" customHeight="1">
      <c r="A53" s="190"/>
      <c r="B53" s="246" t="s">
        <v>364</v>
      </c>
      <c r="C53" s="247"/>
      <c r="D53" s="248"/>
      <c r="E53" s="18"/>
      <c r="F53" s="18"/>
      <c r="G53" s="18"/>
      <c r="H53" s="18"/>
      <c r="I53" s="18"/>
      <c r="J53" s="18"/>
      <c r="K53" s="18"/>
      <c r="L53" s="18">
        <v>0.1</v>
      </c>
      <c r="M53" s="18">
        <f t="shared" si="9"/>
        <v>0</v>
      </c>
      <c r="N53" s="14">
        <f t="shared" si="10"/>
        <v>0.1</v>
      </c>
      <c r="O53" s="14">
        <f t="shared" si="2"/>
        <v>0.1</v>
      </c>
      <c r="P53" s="91" t="e">
        <f t="shared" si="3"/>
        <v>#DIV/0!</v>
      </c>
    </row>
    <row r="54" spans="1:16" ht="30.75" customHeight="1">
      <c r="A54" s="190"/>
      <c r="B54" s="246" t="s">
        <v>365</v>
      </c>
      <c r="C54" s="247"/>
      <c r="D54" s="248"/>
      <c r="E54" s="18"/>
      <c r="F54" s="18"/>
      <c r="G54" s="18"/>
      <c r="H54" s="18"/>
      <c r="I54" s="18"/>
      <c r="J54" s="18"/>
      <c r="K54" s="18"/>
      <c r="L54" s="18">
        <v>0.1</v>
      </c>
      <c r="M54" s="18">
        <f t="shared" si="9"/>
        <v>0</v>
      </c>
      <c r="N54" s="14">
        <f t="shared" si="10"/>
        <v>0.1</v>
      </c>
      <c r="O54" s="14">
        <f t="shared" si="2"/>
        <v>0.1</v>
      </c>
      <c r="P54" s="91" t="e">
        <f t="shared" si="3"/>
        <v>#DIV/0!</v>
      </c>
    </row>
    <row r="55" spans="1:16" ht="30.75" customHeight="1">
      <c r="A55" s="190"/>
      <c r="B55" s="246" t="s">
        <v>366</v>
      </c>
      <c r="C55" s="247"/>
      <c r="D55" s="248"/>
      <c r="E55" s="18"/>
      <c r="F55" s="18"/>
      <c r="G55" s="18"/>
      <c r="H55" s="18"/>
      <c r="I55" s="18"/>
      <c r="J55" s="18"/>
      <c r="K55" s="18"/>
      <c r="L55" s="18">
        <v>0.1</v>
      </c>
      <c r="M55" s="18"/>
      <c r="N55" s="14">
        <f t="shared" si="10"/>
        <v>0.1</v>
      </c>
      <c r="O55" s="14">
        <f t="shared" si="2"/>
        <v>0.1</v>
      </c>
      <c r="P55" s="91" t="e">
        <f t="shared" si="3"/>
        <v>#DIV/0!</v>
      </c>
    </row>
    <row r="56" spans="1:16" ht="30.75" customHeight="1">
      <c r="A56" s="190"/>
      <c r="B56" s="246" t="s">
        <v>367</v>
      </c>
      <c r="C56" s="247"/>
      <c r="D56" s="248"/>
      <c r="E56" s="18"/>
      <c r="F56" s="18"/>
      <c r="G56" s="18"/>
      <c r="H56" s="18"/>
      <c r="I56" s="18"/>
      <c r="J56" s="18"/>
      <c r="K56" s="18"/>
      <c r="L56" s="18">
        <v>0.7</v>
      </c>
      <c r="M56" s="18"/>
      <c r="N56" s="14">
        <f t="shared" si="10"/>
        <v>0.7</v>
      </c>
      <c r="O56" s="14">
        <f t="shared" si="2"/>
        <v>0.7</v>
      </c>
      <c r="P56" s="91" t="e">
        <f t="shared" si="3"/>
        <v>#DIV/0!</v>
      </c>
    </row>
    <row r="57" spans="1:16" ht="30.75" customHeight="1">
      <c r="A57" s="190"/>
      <c r="B57" s="246" t="s">
        <v>368</v>
      </c>
      <c r="C57" s="247"/>
      <c r="D57" s="248"/>
      <c r="E57" s="18"/>
      <c r="F57" s="18"/>
      <c r="G57" s="18"/>
      <c r="H57" s="18"/>
      <c r="I57" s="18"/>
      <c r="J57" s="18"/>
      <c r="K57" s="18"/>
      <c r="L57" s="18">
        <v>0.2</v>
      </c>
      <c r="M57" s="18"/>
      <c r="N57" s="14">
        <f t="shared" si="10"/>
        <v>0.2</v>
      </c>
      <c r="O57" s="14">
        <f t="shared" si="2"/>
        <v>0.2</v>
      </c>
      <c r="P57" s="91" t="e">
        <f t="shared" si="3"/>
        <v>#DIV/0!</v>
      </c>
    </row>
    <row r="58" spans="1:16" ht="63.75" customHeight="1">
      <c r="A58" s="190"/>
      <c r="B58" s="239" t="s">
        <v>369</v>
      </c>
      <c r="C58" s="240"/>
      <c r="D58" s="241"/>
      <c r="E58" s="18"/>
      <c r="F58" s="18"/>
      <c r="G58" s="18"/>
      <c r="H58" s="18"/>
      <c r="I58" s="18"/>
      <c r="J58" s="18"/>
      <c r="K58" s="18"/>
      <c r="L58" s="18">
        <v>4.7</v>
      </c>
      <c r="M58" s="18"/>
      <c r="N58" s="14">
        <f t="shared" si="10"/>
        <v>4.7</v>
      </c>
      <c r="O58" s="14">
        <f t="shared" si="2"/>
        <v>4.7</v>
      </c>
      <c r="P58" s="91" t="e">
        <f t="shared" si="3"/>
        <v>#DIV/0!</v>
      </c>
    </row>
    <row r="59" spans="1:16" ht="30.75" customHeight="1">
      <c r="A59" s="190"/>
      <c r="B59" s="246" t="s">
        <v>370</v>
      </c>
      <c r="C59" s="247"/>
      <c r="D59" s="248"/>
      <c r="E59" s="18"/>
      <c r="F59" s="18"/>
      <c r="G59" s="18"/>
      <c r="H59" s="18"/>
      <c r="I59" s="18"/>
      <c r="J59" s="18"/>
      <c r="K59" s="18"/>
      <c r="L59" s="18">
        <v>4</v>
      </c>
      <c r="M59" s="18"/>
      <c r="N59" s="14">
        <f>F59+H59+J59+L59</f>
        <v>4</v>
      </c>
      <c r="O59" s="14">
        <f t="shared" si="2"/>
        <v>4</v>
      </c>
      <c r="P59" s="91" t="e">
        <f t="shared" si="3"/>
        <v>#DIV/0!</v>
      </c>
    </row>
    <row r="60" spans="1:16" ht="41.25" customHeight="1">
      <c r="A60" s="190"/>
      <c r="B60" s="239" t="s">
        <v>371</v>
      </c>
      <c r="C60" s="240"/>
      <c r="D60" s="241"/>
      <c r="E60" s="18"/>
      <c r="F60" s="18"/>
      <c r="G60" s="18"/>
      <c r="H60" s="18"/>
      <c r="I60" s="18"/>
      <c r="J60" s="18">
        <v>0.8</v>
      </c>
      <c r="K60" s="18"/>
      <c r="L60" s="18"/>
      <c r="M60" s="18"/>
      <c r="N60" s="14">
        <f t="shared" ref="N60:N67" si="11">F60+H60+J60+L60</f>
        <v>0.8</v>
      </c>
      <c r="O60" s="14">
        <f t="shared" si="2"/>
        <v>0.8</v>
      </c>
      <c r="P60" s="91" t="e">
        <f t="shared" si="3"/>
        <v>#DIV/0!</v>
      </c>
    </row>
    <row r="61" spans="1:16" ht="42.75" customHeight="1">
      <c r="A61" s="190"/>
      <c r="B61" s="239" t="s">
        <v>372</v>
      </c>
      <c r="C61" s="240"/>
      <c r="D61" s="241"/>
      <c r="E61" s="18"/>
      <c r="F61" s="18"/>
      <c r="G61" s="18"/>
      <c r="H61" s="18"/>
      <c r="I61" s="18"/>
      <c r="J61" s="18">
        <v>2.2000000000000002</v>
      </c>
      <c r="K61" s="18"/>
      <c r="L61" s="18"/>
      <c r="M61" s="18"/>
      <c r="N61" s="14">
        <f t="shared" si="11"/>
        <v>2.2000000000000002</v>
      </c>
      <c r="O61" s="14">
        <f t="shared" si="2"/>
        <v>2.2000000000000002</v>
      </c>
      <c r="P61" s="91" t="e">
        <f t="shared" si="3"/>
        <v>#DIV/0!</v>
      </c>
    </row>
    <row r="62" spans="1:16" ht="30.75" customHeight="1">
      <c r="A62" s="190"/>
      <c r="B62" s="239" t="s">
        <v>373</v>
      </c>
      <c r="C62" s="240"/>
      <c r="D62" s="241"/>
      <c r="E62" s="18"/>
      <c r="F62" s="18"/>
      <c r="G62" s="18"/>
      <c r="H62" s="18"/>
      <c r="I62" s="18"/>
      <c r="J62" s="18">
        <v>1</v>
      </c>
      <c r="K62" s="18"/>
      <c r="L62" s="18"/>
      <c r="M62" s="18"/>
      <c r="N62" s="14">
        <f t="shared" si="11"/>
        <v>1</v>
      </c>
      <c r="O62" s="14">
        <f t="shared" si="2"/>
        <v>1</v>
      </c>
      <c r="P62" s="91" t="e">
        <f t="shared" si="3"/>
        <v>#DIV/0!</v>
      </c>
    </row>
    <row r="63" spans="1:16" ht="30.75" customHeight="1">
      <c r="A63" s="190"/>
      <c r="B63" s="246" t="s">
        <v>374</v>
      </c>
      <c r="C63" s="247"/>
      <c r="D63" s="248"/>
      <c r="E63" s="18"/>
      <c r="F63" s="18"/>
      <c r="G63" s="18"/>
      <c r="H63" s="18"/>
      <c r="I63" s="18"/>
      <c r="J63" s="18"/>
      <c r="K63" s="18"/>
      <c r="L63" s="18">
        <v>1</v>
      </c>
      <c r="M63" s="18"/>
      <c r="N63" s="14">
        <f t="shared" si="11"/>
        <v>1</v>
      </c>
      <c r="O63" s="14">
        <f t="shared" si="2"/>
        <v>1</v>
      </c>
      <c r="P63" s="91" t="e">
        <f t="shared" si="3"/>
        <v>#DIV/0!</v>
      </c>
    </row>
    <row r="64" spans="1:16" ht="30.75" customHeight="1">
      <c r="A64" s="190"/>
      <c r="B64" s="246" t="s">
        <v>375</v>
      </c>
      <c r="C64" s="247"/>
      <c r="D64" s="248"/>
      <c r="E64" s="18"/>
      <c r="F64" s="18"/>
      <c r="G64" s="18"/>
      <c r="H64" s="18"/>
      <c r="I64" s="18"/>
      <c r="J64" s="18"/>
      <c r="K64" s="18"/>
      <c r="L64" s="18">
        <v>0.9</v>
      </c>
      <c r="M64" s="18"/>
      <c r="N64" s="14">
        <f t="shared" si="11"/>
        <v>0.9</v>
      </c>
      <c r="O64" s="14">
        <f t="shared" si="2"/>
        <v>0.9</v>
      </c>
      <c r="P64" s="91" t="e">
        <f t="shared" si="3"/>
        <v>#DIV/0!</v>
      </c>
    </row>
    <row r="65" spans="1:16" ht="30.75" customHeight="1">
      <c r="A65" s="190"/>
      <c r="B65" s="246" t="s">
        <v>376</v>
      </c>
      <c r="C65" s="247"/>
      <c r="D65" s="248"/>
      <c r="E65" s="18"/>
      <c r="F65" s="18"/>
      <c r="G65" s="18"/>
      <c r="H65" s="18"/>
      <c r="I65" s="18"/>
      <c r="J65" s="18"/>
      <c r="K65" s="18"/>
      <c r="L65" s="18">
        <v>0.5</v>
      </c>
      <c r="M65" s="18"/>
      <c r="N65" s="14">
        <f t="shared" si="11"/>
        <v>0.5</v>
      </c>
      <c r="O65" s="14">
        <f t="shared" si="2"/>
        <v>0.5</v>
      </c>
      <c r="P65" s="91" t="e">
        <f t="shared" si="3"/>
        <v>#DIV/0!</v>
      </c>
    </row>
    <row r="66" spans="1:16" ht="30.75" customHeight="1">
      <c r="A66" s="190"/>
      <c r="B66" s="246" t="s">
        <v>377</v>
      </c>
      <c r="C66" s="247"/>
      <c r="D66" s="248"/>
      <c r="E66" s="18"/>
      <c r="F66" s="18"/>
      <c r="G66" s="18"/>
      <c r="H66" s="18"/>
      <c r="I66" s="18"/>
      <c r="J66" s="18"/>
      <c r="K66" s="18"/>
      <c r="L66" s="18">
        <v>0.4</v>
      </c>
      <c r="M66" s="18"/>
      <c r="N66" s="14">
        <f t="shared" si="11"/>
        <v>0.4</v>
      </c>
      <c r="O66" s="14">
        <f t="shared" si="2"/>
        <v>0.4</v>
      </c>
      <c r="P66" s="91" t="e">
        <f t="shared" si="3"/>
        <v>#DIV/0!</v>
      </c>
    </row>
    <row r="67" spans="1:16" ht="30.75" customHeight="1">
      <c r="A67" s="190"/>
      <c r="B67" s="246" t="s">
        <v>378</v>
      </c>
      <c r="C67" s="247"/>
      <c r="D67" s="248"/>
      <c r="E67" s="18"/>
      <c r="F67" s="18"/>
      <c r="G67" s="18"/>
      <c r="H67" s="18"/>
      <c r="I67" s="18"/>
      <c r="J67" s="18"/>
      <c r="K67" s="18"/>
      <c r="L67" s="18">
        <v>0.2</v>
      </c>
      <c r="M67" s="18"/>
      <c r="N67" s="14">
        <f t="shared" si="11"/>
        <v>0.2</v>
      </c>
      <c r="O67" s="14">
        <f t="shared" si="2"/>
        <v>0.2</v>
      </c>
      <c r="P67" s="91" t="e">
        <f t="shared" si="3"/>
        <v>#DIV/0!</v>
      </c>
    </row>
    <row r="68" spans="1:16" ht="30.75" customHeight="1">
      <c r="A68" s="190"/>
      <c r="B68" s="246" t="s">
        <v>379</v>
      </c>
      <c r="C68" s="247"/>
      <c r="D68" s="248"/>
      <c r="E68" s="18"/>
      <c r="F68" s="18"/>
      <c r="G68" s="18"/>
      <c r="H68" s="18"/>
      <c r="I68" s="18"/>
      <c r="J68" s="18"/>
      <c r="K68" s="18"/>
      <c r="L68" s="18">
        <v>0.3</v>
      </c>
      <c r="M68" s="18">
        <f t="shared" si="9"/>
        <v>0</v>
      </c>
      <c r="N68" s="14">
        <f t="shared" si="10"/>
        <v>0.3</v>
      </c>
      <c r="O68" s="14">
        <f t="shared" si="2"/>
        <v>0.3</v>
      </c>
      <c r="P68" s="91" t="e">
        <f t="shared" si="3"/>
        <v>#DIV/0!</v>
      </c>
    </row>
    <row r="69" spans="1:16" ht="27.75" customHeight="1">
      <c r="A69" s="190"/>
      <c r="B69" s="246" t="s">
        <v>380</v>
      </c>
      <c r="C69" s="247"/>
      <c r="D69" s="248"/>
      <c r="E69" s="18"/>
      <c r="F69" s="18"/>
      <c r="G69" s="18"/>
      <c r="H69" s="18"/>
      <c r="I69" s="18"/>
      <c r="J69" s="18"/>
      <c r="K69" s="18"/>
      <c r="L69" s="18">
        <v>0.2</v>
      </c>
      <c r="M69" s="18">
        <f t="shared" si="9"/>
        <v>0</v>
      </c>
      <c r="N69" s="14">
        <f t="shared" si="10"/>
        <v>0.2</v>
      </c>
      <c r="O69" s="14">
        <f t="shared" si="2"/>
        <v>0.2</v>
      </c>
      <c r="P69" s="91" t="e">
        <f t="shared" si="3"/>
        <v>#DIV/0!</v>
      </c>
    </row>
    <row r="70" spans="1:16" ht="33.75" customHeight="1">
      <c r="A70" s="190"/>
      <c r="B70" s="246" t="s">
        <v>381</v>
      </c>
      <c r="C70" s="247"/>
      <c r="D70" s="248"/>
      <c r="E70" s="18"/>
      <c r="F70" s="18"/>
      <c r="G70" s="18"/>
      <c r="H70" s="18"/>
      <c r="I70" s="18"/>
      <c r="J70" s="18"/>
      <c r="K70" s="18"/>
      <c r="L70" s="18">
        <v>0.1</v>
      </c>
      <c r="M70" s="18">
        <f t="shared" si="9"/>
        <v>0</v>
      </c>
      <c r="N70" s="14">
        <f t="shared" si="10"/>
        <v>0.1</v>
      </c>
      <c r="O70" s="14">
        <f t="shared" si="2"/>
        <v>0.1</v>
      </c>
      <c r="P70" s="91" t="e">
        <f t="shared" si="3"/>
        <v>#DIV/0!</v>
      </c>
    </row>
    <row r="71" spans="1:16" ht="30" customHeight="1">
      <c r="A71" s="190"/>
      <c r="B71" s="246" t="s">
        <v>382</v>
      </c>
      <c r="C71" s="247"/>
      <c r="D71" s="248"/>
      <c r="E71" s="18"/>
      <c r="F71" s="18"/>
      <c r="G71" s="18"/>
      <c r="H71" s="18"/>
      <c r="I71" s="18"/>
      <c r="J71" s="18"/>
      <c r="K71" s="18"/>
      <c r="L71" s="18">
        <v>0.1</v>
      </c>
      <c r="M71" s="18">
        <f t="shared" si="9"/>
        <v>0</v>
      </c>
      <c r="N71" s="14">
        <f t="shared" si="10"/>
        <v>0.1</v>
      </c>
      <c r="O71" s="14">
        <f t="shared" si="2"/>
        <v>0.1</v>
      </c>
      <c r="P71" s="91" t="e">
        <f t="shared" si="3"/>
        <v>#DIV/0!</v>
      </c>
    </row>
    <row r="72" spans="1:16" ht="30.75" customHeight="1">
      <c r="A72" s="190"/>
      <c r="B72" s="246" t="s">
        <v>383</v>
      </c>
      <c r="C72" s="247"/>
      <c r="D72" s="248"/>
      <c r="E72" s="18"/>
      <c r="F72" s="18"/>
      <c r="G72" s="18"/>
      <c r="H72" s="18"/>
      <c r="I72" s="18"/>
      <c r="J72" s="18"/>
      <c r="K72" s="18"/>
      <c r="L72" s="18">
        <v>0.7</v>
      </c>
      <c r="M72" s="18">
        <f t="shared" si="9"/>
        <v>0</v>
      </c>
      <c r="N72" s="14">
        <f t="shared" si="10"/>
        <v>0.7</v>
      </c>
      <c r="O72" s="14">
        <f t="shared" ref="O72:O75" si="12">N72-M72</f>
        <v>0.7</v>
      </c>
      <c r="P72" s="91" t="e">
        <f t="shared" ref="P72:P75" si="13">(N72/M72)*100</f>
        <v>#DIV/0!</v>
      </c>
    </row>
    <row r="73" spans="1:16" ht="39" customHeight="1">
      <c r="A73" s="190" t="s">
        <v>104</v>
      </c>
      <c r="B73" s="244" t="s">
        <v>251</v>
      </c>
      <c r="C73" s="245"/>
      <c r="D73" s="249"/>
      <c r="E73" s="18"/>
      <c r="F73" s="18"/>
      <c r="G73" s="14">
        <f t="shared" ref="G73:L73" si="14">SUM(G74:G74)</f>
        <v>0</v>
      </c>
      <c r="H73" s="14">
        <f t="shared" si="14"/>
        <v>0</v>
      </c>
      <c r="I73" s="14">
        <f t="shared" si="14"/>
        <v>0</v>
      </c>
      <c r="J73" s="14">
        <f t="shared" si="14"/>
        <v>0</v>
      </c>
      <c r="K73" s="14">
        <f t="shared" si="14"/>
        <v>0</v>
      </c>
      <c r="L73" s="14">
        <f t="shared" si="14"/>
        <v>239.7</v>
      </c>
      <c r="M73" s="14">
        <f t="shared" si="9"/>
        <v>0</v>
      </c>
      <c r="N73" s="14">
        <f>SUM(N74:N74)</f>
        <v>239.7</v>
      </c>
      <c r="O73" s="14">
        <f t="shared" si="12"/>
        <v>239.7</v>
      </c>
      <c r="P73" s="164" t="e">
        <f t="shared" si="13"/>
        <v>#DIV/0!</v>
      </c>
    </row>
    <row r="74" spans="1:16" ht="96.75" customHeight="1">
      <c r="A74" s="92"/>
      <c r="B74" s="239" t="s">
        <v>218</v>
      </c>
      <c r="C74" s="240"/>
      <c r="D74" s="241"/>
      <c r="E74" s="18"/>
      <c r="F74" s="18"/>
      <c r="G74" s="18"/>
      <c r="H74" s="18"/>
      <c r="I74" s="18"/>
      <c r="J74" s="18"/>
      <c r="K74" s="15"/>
      <c r="L74" s="15">
        <v>239.7</v>
      </c>
      <c r="M74" s="14">
        <f t="shared" si="9"/>
        <v>0</v>
      </c>
      <c r="N74" s="14">
        <f>F74+H74+J74+L74</f>
        <v>239.7</v>
      </c>
      <c r="O74" s="14">
        <f t="shared" si="12"/>
        <v>239.7</v>
      </c>
      <c r="P74" s="164" t="e">
        <f t="shared" si="13"/>
        <v>#DIV/0!</v>
      </c>
    </row>
    <row r="75" spans="1:16" ht="40.5" customHeight="1">
      <c r="A75" s="230" t="s">
        <v>9</v>
      </c>
      <c r="B75" s="231"/>
      <c r="C75" s="231"/>
      <c r="D75" s="231"/>
      <c r="E75" s="14">
        <f>E7+E25</f>
        <v>0</v>
      </c>
      <c r="F75" s="14">
        <f>F7+F25</f>
        <v>0</v>
      </c>
      <c r="G75" s="14">
        <f>G7+G25+G73</f>
        <v>0</v>
      </c>
      <c r="H75" s="14">
        <f>H7+H25+H73</f>
        <v>0</v>
      </c>
      <c r="I75" s="14">
        <f>I7+I25</f>
        <v>0</v>
      </c>
      <c r="J75" s="14">
        <f>J7+J25+J73</f>
        <v>249.5</v>
      </c>
      <c r="K75" s="14">
        <f>K7+K25+K73</f>
        <v>0</v>
      </c>
      <c r="L75" s="14">
        <f>L7+L25+L73</f>
        <v>2066.4</v>
      </c>
      <c r="M75" s="14">
        <f>M7+M25+M73</f>
        <v>0</v>
      </c>
      <c r="N75" s="14">
        <f>N7+N25+N73</f>
        <v>2315.9</v>
      </c>
      <c r="O75" s="14">
        <f t="shared" si="12"/>
        <v>2315.9</v>
      </c>
      <c r="P75" s="91" t="e">
        <f t="shared" si="13"/>
        <v>#DIV/0!</v>
      </c>
    </row>
    <row r="76" spans="1:16" ht="20.100000000000001" customHeight="1">
      <c r="A76" s="94"/>
      <c r="B76" s="162"/>
      <c r="C76" s="95"/>
      <c r="D76" s="95"/>
      <c r="E76" s="95"/>
      <c r="F76" s="95"/>
      <c r="G76" s="95"/>
      <c r="H76" s="95"/>
      <c r="I76" s="95"/>
      <c r="J76" s="94"/>
      <c r="K76" s="95"/>
      <c r="L76" s="94"/>
    </row>
    <row r="77" spans="1:16" ht="18" hidden="1" customHeight="1">
      <c r="A77" s="96"/>
      <c r="B77" s="168"/>
      <c r="C77" s="97"/>
      <c r="D77" s="97"/>
      <c r="E77" s="97"/>
      <c r="F77" s="97"/>
      <c r="G77" s="97"/>
      <c r="H77" s="97"/>
      <c r="I77" s="97"/>
      <c r="J77" s="97"/>
    </row>
    <row r="78" spans="1:16" s="204" customFormat="1" ht="19.5" hidden="1" customHeight="1">
      <c r="B78" s="1"/>
      <c r="C78" s="9"/>
      <c r="D78" s="9"/>
      <c r="E78" s="9"/>
      <c r="F78" s="9"/>
      <c r="P78" s="185"/>
    </row>
    <row r="79" spans="1:16" s="10" customFormat="1" ht="48" customHeight="1">
      <c r="B79" s="234" t="s">
        <v>215</v>
      </c>
      <c r="C79" s="235"/>
      <c r="D79" s="235"/>
      <c r="E79" s="203"/>
      <c r="F79" s="203"/>
      <c r="G79" s="236"/>
      <c r="H79" s="236"/>
      <c r="I79" s="236"/>
      <c r="J79" s="250"/>
      <c r="K79" s="213" t="s">
        <v>185</v>
      </c>
      <c r="L79" s="213"/>
      <c r="M79" s="213"/>
      <c r="P79" s="186"/>
    </row>
    <row r="80" spans="1:16" s="204" customFormat="1" ht="19.5" customHeight="1">
      <c r="B80" s="237" t="s">
        <v>10</v>
      </c>
      <c r="C80" s="237"/>
      <c r="D80" s="237"/>
      <c r="E80" s="98"/>
      <c r="F80" s="98"/>
      <c r="G80" s="99"/>
      <c r="H80" s="251" t="s">
        <v>11</v>
      </c>
      <c r="I80" s="99"/>
      <c r="J80" s="98"/>
      <c r="K80" s="237" t="s">
        <v>17</v>
      </c>
      <c r="L80" s="237"/>
      <c r="M80" s="237"/>
      <c r="P80" s="185"/>
    </row>
    <row r="81" spans="1:10" ht="20.100000000000001" customHeight="1">
      <c r="B81" s="100"/>
      <c r="C81" s="100"/>
      <c r="D81" s="100"/>
      <c r="E81" s="101"/>
      <c r="F81" s="101"/>
      <c r="G81" s="101"/>
      <c r="H81" s="101"/>
      <c r="I81" s="101"/>
      <c r="J81" s="101"/>
    </row>
    <row r="82" spans="1:10" ht="20.100000000000001" customHeight="1">
      <c r="B82" s="100"/>
      <c r="C82" s="100"/>
      <c r="D82" s="100"/>
      <c r="E82" s="100"/>
      <c r="F82" s="100"/>
      <c r="G82" s="100"/>
      <c r="H82" s="100"/>
      <c r="I82" s="100"/>
      <c r="J82" s="100"/>
    </row>
    <row r="83" spans="1:10">
      <c r="B83" s="100"/>
      <c r="C83" s="100"/>
      <c r="D83" s="100"/>
      <c r="E83" s="100"/>
      <c r="F83" s="100"/>
      <c r="G83" s="100"/>
      <c r="H83" s="100"/>
      <c r="I83" s="100"/>
      <c r="J83" s="100"/>
    </row>
    <row r="84" spans="1:10" s="233" customFormat="1" ht="19.149999999999999" customHeight="1">
      <c r="A84" s="232" t="s">
        <v>52</v>
      </c>
    </row>
    <row r="87" spans="1:10">
      <c r="B87" s="11"/>
    </row>
    <row r="88" spans="1:10">
      <c r="B88" s="11"/>
    </row>
    <row r="89" spans="1:10">
      <c r="B89" s="11"/>
    </row>
    <row r="90" spans="1:10">
      <c r="B90" s="11"/>
    </row>
    <row r="91" spans="1:10">
      <c r="B91" s="11"/>
    </row>
    <row r="92" spans="1:10">
      <c r="B92" s="11"/>
    </row>
    <row r="93" spans="1:10">
      <c r="B93" s="11"/>
    </row>
  </sheetData>
  <mergeCells count="84">
    <mergeCell ref="B69:D69"/>
    <mergeCell ref="B70:D70"/>
    <mergeCell ref="B43:D43"/>
    <mergeCell ref="B44:D44"/>
    <mergeCell ref="B46:D46"/>
    <mergeCell ref="B45:D45"/>
    <mergeCell ref="B56:D56"/>
    <mergeCell ref="B55:D55"/>
    <mergeCell ref="B48:D48"/>
    <mergeCell ref="B54:D54"/>
    <mergeCell ref="B49:D49"/>
    <mergeCell ref="B51:D51"/>
    <mergeCell ref="B52:D52"/>
    <mergeCell ref="B53:D53"/>
    <mergeCell ref="B50:D50"/>
    <mergeCell ref="B47:D47"/>
    <mergeCell ref="B38:D38"/>
    <mergeCell ref="B39:D39"/>
    <mergeCell ref="B40:D40"/>
    <mergeCell ref="B41:D41"/>
    <mergeCell ref="B42:D42"/>
    <mergeCell ref="B33:D33"/>
    <mergeCell ref="B34:D34"/>
    <mergeCell ref="B35:D35"/>
    <mergeCell ref="B36:D36"/>
    <mergeCell ref="B37:D37"/>
    <mergeCell ref="B24:D24"/>
    <mergeCell ref="B26:D26"/>
    <mergeCell ref="B30:D30"/>
    <mergeCell ref="B31:D31"/>
    <mergeCell ref="B32:D32"/>
    <mergeCell ref="B27:D27"/>
    <mergeCell ref="B28:D28"/>
    <mergeCell ref="B29:D29"/>
    <mergeCell ref="B19:D19"/>
    <mergeCell ref="B20:D20"/>
    <mergeCell ref="B21:D21"/>
    <mergeCell ref="B22:D22"/>
    <mergeCell ref="B23:D23"/>
    <mergeCell ref="B72:D72"/>
    <mergeCell ref="B57:D57"/>
    <mergeCell ref="B58:D58"/>
    <mergeCell ref="B73:D73"/>
    <mergeCell ref="B74:D74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71:D71"/>
    <mergeCell ref="B68:D68"/>
    <mergeCell ref="D2:M2"/>
    <mergeCell ref="M4:P4"/>
    <mergeCell ref="G4:H4"/>
    <mergeCell ref="K4:L4"/>
    <mergeCell ref="I4:J4"/>
    <mergeCell ref="E4:F4"/>
    <mergeCell ref="A4:A5"/>
    <mergeCell ref="B7:D7"/>
    <mergeCell ref="B25:D25"/>
    <mergeCell ref="B6:D6"/>
    <mergeCell ref="B4:D5"/>
    <mergeCell ref="B8:D8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  <mergeCell ref="B18:D18"/>
    <mergeCell ref="A75:D75"/>
    <mergeCell ref="A84:XFD84"/>
    <mergeCell ref="B79:D79"/>
    <mergeCell ref="G79:I79"/>
    <mergeCell ref="K79:M79"/>
    <mergeCell ref="K80:M80"/>
    <mergeCell ref="B80:D80"/>
  </mergeCells>
  <phoneticPr fontId="4" type="noConversion"/>
  <pageMargins left="0.39370078740157483" right="0.39370078740157483" top="0.78740157480314965" bottom="0.39370078740157483" header="0.19685039370078741" footer="0.31496062992125984"/>
  <pageSetup paperSize="9" scale="47" fitToHeight="3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Звіт про виконання показ фінпла</vt:lpstr>
      <vt:lpstr>Розшифровка 1 до Формування</vt:lpstr>
      <vt:lpstr>Розшифровка 2 до формування</vt:lpstr>
      <vt:lpstr>Розшифровка кап</vt:lpstr>
      <vt:lpstr>Розшифровка за джерелами</vt:lpstr>
      <vt:lpstr>'Звіт про виконання показ фінпла'!Заголовки_для_печати</vt:lpstr>
      <vt:lpstr>'Розшифровка 1 до Формування'!Заголовки_для_печати</vt:lpstr>
      <vt:lpstr>'Розшифровка 2 до формування'!Заголовки_для_печати</vt:lpstr>
      <vt:lpstr>'Розшифровка за джерелами'!Заголовки_для_печати</vt:lpstr>
      <vt:lpstr>'Розшифровка кап'!Заголовки_для_печати</vt:lpstr>
      <vt:lpstr>'Звіт про виконання показ фінпла'!Область_печати</vt:lpstr>
      <vt:lpstr>'Розшифровка 1 до Формування'!Область_печати</vt:lpstr>
      <vt:lpstr>'Розшифровка 2 до формування'!Область_печати</vt:lpstr>
      <vt:lpstr>'Розшифровка за джерелами'!Область_печати</vt:lpstr>
      <vt:lpstr>'Розшифровка кап'!Область_печати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CMtaD</cp:lastModifiedBy>
  <cp:lastPrinted>2025-07-28T09:25:49Z</cp:lastPrinted>
  <dcterms:created xsi:type="dcterms:W3CDTF">2003-03-13T16:00:22Z</dcterms:created>
  <dcterms:modified xsi:type="dcterms:W3CDTF">2025-07-28T09:37:22Z</dcterms:modified>
</cp:coreProperties>
</file>